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trlProps/ctrlProp6.xml" ContentType="application/vnd.ms-excel.controlproperties+xml"/>
  <Override PartName="/xl/ctrlProps/ctrlProp5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7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persons/person.xml" ContentType="application/vnd.ms-excel.person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autoCompressPictures="0"/>
  <mc:AlternateContent xmlns:mc="http://schemas.openxmlformats.org/markup-compatibility/2006">
    <mc:Choice Requires="x15">
      <x15ac:absPath xmlns:x15ac="http://schemas.microsoft.com/office/spreadsheetml/2010/11/ac" url="Y:\05 - Statistik\1.Daten\06 INDUSTRIE, DIENSTLEISTUNGEN\Aussenhandelsstatistik\Neue Methodik ab 2020\"/>
    </mc:Choice>
  </mc:AlternateContent>
  <xr:revisionPtr revIDLastSave="0" documentId="13_ncr:1_{D067D5BF-9C9A-4DFD-81FC-D97261C80ECE}" xr6:coauthVersionLast="47" xr6:coauthVersionMax="47" xr10:uidLastSave="{00000000-0000-0000-0000-000000000000}"/>
  <workbookProtection lockStructure="1"/>
  <bookViews>
    <workbookView xWindow="25695" yWindow="0" windowWidth="26010" windowHeight="20985" xr2:uid="{00000000-000D-0000-FFFF-FFFF00000000}"/>
  </bookViews>
  <sheets>
    <sheet name="Exporte absolut" sheetId="34" r:id="rId1"/>
    <sheet name="Importe absolut" sheetId="36" r:id="rId2"/>
    <sheet name="Exporte pro Kopf" sheetId="37" r:id="rId3"/>
    <sheet name="Importe pro Kopf" sheetId="38" r:id="rId4"/>
    <sheet name="Uebersetzungen" sheetId="13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38" l="1"/>
  <c r="A46" i="38"/>
  <c r="A47" i="38"/>
  <c r="A46" i="36"/>
  <c r="A29" i="36"/>
  <c r="A29" i="37"/>
  <c r="A30" i="37"/>
  <c r="A46" i="37"/>
  <c r="A47" i="37"/>
  <c r="A46" i="34"/>
  <c r="A47" i="34"/>
  <c r="A30" i="34"/>
  <c r="A29" i="34"/>
  <c r="A52" i="38" l="1"/>
  <c r="A51" i="38"/>
  <c r="A49" i="38"/>
  <c r="A45" i="38"/>
  <c r="A44" i="38"/>
  <c r="A43" i="38"/>
  <c r="A42" i="38"/>
  <c r="A41" i="38"/>
  <c r="A40" i="38"/>
  <c r="A39" i="38"/>
  <c r="A38" i="38"/>
  <c r="A37" i="38"/>
  <c r="A36" i="38"/>
  <c r="A35" i="38"/>
  <c r="A34" i="38"/>
  <c r="A33" i="38"/>
  <c r="A32" i="38"/>
  <c r="A31" i="38"/>
  <c r="A30" i="38"/>
  <c r="A28" i="38"/>
  <c r="A27" i="38"/>
  <c r="A26" i="38"/>
  <c r="A25" i="38"/>
  <c r="A24" i="38"/>
  <c r="A23" i="38"/>
  <c r="A22" i="38"/>
  <c r="A21" i="38"/>
  <c r="A20" i="38"/>
  <c r="A19" i="38"/>
  <c r="A18" i="38"/>
  <c r="A17" i="38"/>
  <c r="A16" i="38"/>
  <c r="A15" i="38"/>
  <c r="M12" i="38"/>
  <c r="C12" i="38"/>
  <c r="A10" i="38"/>
  <c r="A9" i="38"/>
  <c r="A7" i="38"/>
  <c r="A10" i="37"/>
  <c r="A9" i="37"/>
  <c r="A52" i="37"/>
  <c r="A51" i="37"/>
  <c r="A49" i="37"/>
  <c r="A45" i="37"/>
  <c r="A44" i="37"/>
  <c r="A43" i="37"/>
  <c r="A42" i="37"/>
  <c r="A41" i="37"/>
  <c r="A40" i="37"/>
  <c r="A39" i="37"/>
  <c r="A38" i="37"/>
  <c r="A37" i="37"/>
  <c r="A36" i="37"/>
  <c r="A35" i="37"/>
  <c r="A34" i="37"/>
  <c r="A33" i="37"/>
  <c r="A32" i="37"/>
  <c r="A31" i="37"/>
  <c r="A28" i="37"/>
  <c r="A27" i="37"/>
  <c r="A26" i="37"/>
  <c r="A25" i="37"/>
  <c r="A24" i="37"/>
  <c r="A23" i="37"/>
  <c r="A22" i="37"/>
  <c r="A21" i="37"/>
  <c r="A20" i="37"/>
  <c r="A19" i="37"/>
  <c r="A18" i="37"/>
  <c r="A17" i="37"/>
  <c r="A16" i="37"/>
  <c r="A15" i="37"/>
  <c r="M12" i="37"/>
  <c r="C12" i="37"/>
  <c r="A7" i="37"/>
  <c r="A10" i="36"/>
  <c r="A9" i="36"/>
  <c r="A10" i="34"/>
  <c r="A56" i="36"/>
  <c r="A55" i="36"/>
  <c r="A53" i="36"/>
  <c r="A52" i="36"/>
  <c r="A50" i="36"/>
  <c r="A49" i="36"/>
  <c r="A48" i="36"/>
  <c r="A47" i="36"/>
  <c r="A45" i="36"/>
  <c r="A44" i="36"/>
  <c r="A43" i="36"/>
  <c r="A42" i="36"/>
  <c r="A41" i="36"/>
  <c r="A40" i="36"/>
  <c r="A39" i="36"/>
  <c r="A38" i="36"/>
  <c r="A37" i="36"/>
  <c r="A36" i="36"/>
  <c r="A35" i="36"/>
  <c r="A34" i="36"/>
  <c r="A33" i="36"/>
  <c r="A32" i="36"/>
  <c r="A31" i="36"/>
  <c r="A30" i="36"/>
  <c r="A28" i="36"/>
  <c r="A27" i="36"/>
  <c r="A26" i="36"/>
  <c r="A25" i="36"/>
  <c r="A24" i="36"/>
  <c r="A23" i="36"/>
  <c r="A22" i="36"/>
  <c r="A21" i="36"/>
  <c r="A20" i="36"/>
  <c r="A19" i="36"/>
  <c r="A18" i="36"/>
  <c r="A17" i="36"/>
  <c r="A16" i="36"/>
  <c r="A15" i="36"/>
  <c r="A14" i="36"/>
  <c r="M12" i="36"/>
  <c r="C12" i="36"/>
  <c r="A7" i="36"/>
  <c r="A44" i="34"/>
  <c r="A43" i="34"/>
  <c r="A42" i="34"/>
  <c r="A41" i="34"/>
  <c r="A37" i="34"/>
  <c r="A35" i="34"/>
  <c r="A34" i="34"/>
  <c r="A33" i="34"/>
  <c r="A32" i="34"/>
  <c r="A28" i="34"/>
  <c r="A26" i="34"/>
  <c r="A24" i="34" l="1"/>
  <c r="A22" i="34"/>
  <c r="A18" i="34"/>
  <c r="A17" i="34"/>
  <c r="A16" i="34"/>
  <c r="M12" i="34"/>
  <c r="C12" i="34"/>
  <c r="A53" i="34"/>
  <c r="A52" i="34"/>
  <c r="A9" i="34"/>
  <c r="A50" i="34"/>
  <c r="A49" i="34"/>
  <c r="A48" i="34"/>
  <c r="A56" i="34" l="1"/>
  <c r="A55" i="34"/>
  <c r="A45" i="34"/>
  <c r="A40" i="34"/>
  <c r="A39" i="34"/>
  <c r="A38" i="34"/>
  <c r="A36" i="34"/>
  <c r="A31" i="34"/>
  <c r="A27" i="34"/>
  <c r="A25" i="34"/>
  <c r="A23" i="34"/>
  <c r="A21" i="34"/>
  <c r="A20" i="34"/>
  <c r="A19" i="34"/>
  <c r="A15" i="34"/>
  <c r="A14" i="34"/>
  <c r="A7" i="34"/>
</calcChain>
</file>

<file path=xl/sharedStrings.xml><?xml version="1.0" encoding="utf-8"?>
<sst xmlns="http://schemas.openxmlformats.org/spreadsheetml/2006/main" count="219" uniqueCount="205">
  <si>
    <t>Total</t>
  </si>
  <si>
    <t>Genferseeregion</t>
  </si>
  <si>
    <t>Waadt</t>
  </si>
  <si>
    <t>Wallis</t>
  </si>
  <si>
    <t>Genf</t>
  </si>
  <si>
    <t>Espace Mittelland</t>
  </si>
  <si>
    <t>Bern</t>
  </si>
  <si>
    <t>Freiburg</t>
  </si>
  <si>
    <t>Solothurn</t>
  </si>
  <si>
    <t>Neuenburg</t>
  </si>
  <si>
    <t>Jura</t>
  </si>
  <si>
    <t>Nordwestschweiz</t>
  </si>
  <si>
    <t>Basel-Stadt</t>
  </si>
  <si>
    <t>Basel-Landschaft</t>
  </si>
  <si>
    <t>Aargau</t>
  </si>
  <si>
    <t>Zürich</t>
  </si>
  <si>
    <t>Ostschweiz</t>
  </si>
  <si>
    <t>Glarus</t>
  </si>
  <si>
    <t>Schaffhausen</t>
  </si>
  <si>
    <t>St. Gallen</t>
  </si>
  <si>
    <t>Graubünden</t>
  </si>
  <si>
    <t>Thurgau</t>
  </si>
  <si>
    <t>Zentralschweiz</t>
  </si>
  <si>
    <t>Luzern</t>
  </si>
  <si>
    <t>Uri</t>
  </si>
  <si>
    <t>Schwyz</t>
  </si>
  <si>
    <t>Obwalden</t>
  </si>
  <si>
    <t>Nidwalden</t>
  </si>
  <si>
    <t>Zug</t>
  </si>
  <si>
    <t>Tessin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</si>
  <si>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</si>
  <si>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</si>
  <si>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</si>
  <si>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</si>
  <si>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</si>
  <si>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</si>
  <si>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</si>
  <si>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</si>
  <si>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</si>
  <si>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</si>
  <si>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</si>
  <si>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</si>
  <si>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</si>
  <si>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</si>
  <si>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&lt;SpaltenTitel_1&gt;</t>
  </si>
  <si>
    <t>Totale</t>
  </si>
  <si>
    <t>&lt;SpaltenTitel_2&gt;</t>
  </si>
  <si>
    <t>&lt;SpaltenTitel_2.1&gt;</t>
  </si>
  <si>
    <t>&lt;SpaltenTitel_2.2&gt;</t>
  </si>
  <si>
    <t>&lt;Zeilentitel_1&gt;</t>
  </si>
  <si>
    <t>&lt;Zeilentitel_2&gt;</t>
  </si>
  <si>
    <t>Turitg</t>
  </si>
  <si>
    <t>&lt;Zeilentitel_3&gt;</t>
  </si>
  <si>
    <t>Berna</t>
  </si>
  <si>
    <t>&lt;Zeilentitel_4&gt;</t>
  </si>
  <si>
    <t>Lucerna</t>
  </si>
  <si>
    <t>&lt;Zeilentitel_5&gt;</t>
  </si>
  <si>
    <t>&lt;Zeilentitel_6&gt;</t>
  </si>
  <si>
    <t>Sviz</t>
  </si>
  <si>
    <t>&lt;Zeilentitel_7&gt;</t>
  </si>
  <si>
    <t>Sursilvania</t>
  </si>
  <si>
    <t>&lt;Zeilentitel_8&gt;</t>
  </si>
  <si>
    <t>Sutsilvania</t>
  </si>
  <si>
    <t>&lt;Zeilentitel_9&gt;</t>
  </si>
  <si>
    <t>Glaruna</t>
  </si>
  <si>
    <t>&lt;Zeilentitel_10&gt;</t>
  </si>
  <si>
    <t>&lt;Zeilentitel_11&gt;</t>
  </si>
  <si>
    <t>Friburg</t>
  </si>
  <si>
    <t>&lt;Zeilentitel_12&gt;</t>
  </si>
  <si>
    <t>Soloturn</t>
  </si>
  <si>
    <t>&lt;Zeilentitel_13&gt;</t>
  </si>
  <si>
    <t>Basilea-Citad</t>
  </si>
  <si>
    <t>&lt;Zeilentitel_14&gt;</t>
  </si>
  <si>
    <t>Basilea-Champagna</t>
  </si>
  <si>
    <t>&lt;Zeilentitel_15&gt;</t>
  </si>
  <si>
    <t>Schaffusa</t>
  </si>
  <si>
    <t>&lt;Zeilentitel_16&gt;</t>
  </si>
  <si>
    <t>Appenzell Ausserrhoden</t>
  </si>
  <si>
    <t>Appenzell Dadora</t>
  </si>
  <si>
    <t>&lt;Zeilentitel_17&gt;</t>
  </si>
  <si>
    <t>Appenzell Innerrhoden</t>
  </si>
  <si>
    <t>Appenzell Dadens</t>
  </si>
  <si>
    <t>&lt;Zeilentitel_18&gt;</t>
  </si>
  <si>
    <t>Son Gagl</t>
  </si>
  <si>
    <t>&lt;Zeilentitel_19&gt;</t>
  </si>
  <si>
    <t>Grischun</t>
  </si>
  <si>
    <t>&lt;Zeilentitel_20&gt;</t>
  </si>
  <si>
    <t>Argovia</t>
  </si>
  <si>
    <t>&lt;Zeilentitel_21&gt;</t>
  </si>
  <si>
    <t>Turgovia</t>
  </si>
  <si>
    <t>&lt;Zeilentitel_22&gt;</t>
  </si>
  <si>
    <t>&lt;Zeilentitel_23&gt;</t>
  </si>
  <si>
    <t>Vad</t>
  </si>
  <si>
    <t>&lt;Zeilentitel_24&gt;</t>
  </si>
  <si>
    <t>Vallais</t>
  </si>
  <si>
    <t>&lt;Zeilentitel_25&gt;</t>
  </si>
  <si>
    <t>Neuchâtel</t>
  </si>
  <si>
    <t>&lt;Zeilentitel_26&gt;</t>
  </si>
  <si>
    <t>Genevra</t>
  </si>
  <si>
    <t>&lt;Zeilentitel_27&gt;</t>
  </si>
  <si>
    <t>Giura</t>
  </si>
  <si>
    <t>&lt;Legende_1&gt;</t>
  </si>
  <si>
    <t>&lt;Legende_2&gt;</t>
  </si>
  <si>
    <t>&lt;Legende_3&gt;</t>
  </si>
  <si>
    <t>&lt;Legende_4&gt;</t>
  </si>
  <si>
    <t>&lt;Quelle_1&gt;</t>
  </si>
  <si>
    <t>&lt;Aktualisierung&gt;</t>
  </si>
  <si>
    <t>&lt;Zeilentitel_28&gt;</t>
  </si>
  <si>
    <t>&lt;Zeilentitel_30&gt;</t>
  </si>
  <si>
    <t>&lt;Zeilentitel_31&gt;</t>
  </si>
  <si>
    <t>&lt;Zeilentitel_32&gt;</t>
  </si>
  <si>
    <t>&lt;Zeilentitel_29&gt;</t>
  </si>
  <si>
    <t>Svizra dal Nordvest</t>
  </si>
  <si>
    <t>Svizra Orientala</t>
  </si>
  <si>
    <t>Svizra Centrala</t>
  </si>
  <si>
    <t>Regiun dal Lai da Genevra</t>
  </si>
  <si>
    <t xml:space="preserve">Regione del Lemano       </t>
  </si>
  <si>
    <t xml:space="preserve">Vaud                     </t>
  </si>
  <si>
    <t xml:space="preserve">Vallese                  </t>
  </si>
  <si>
    <t xml:space="preserve">Ginevra                  </t>
  </si>
  <si>
    <t xml:space="preserve">Spazio Mittelland        </t>
  </si>
  <si>
    <t xml:space="preserve">Berna                    </t>
  </si>
  <si>
    <t xml:space="preserve">Friburgo                 </t>
  </si>
  <si>
    <t xml:space="preserve">Soletta                  </t>
  </si>
  <si>
    <t xml:space="preserve">Neuchâtel                </t>
  </si>
  <si>
    <t xml:space="preserve">Giura                    </t>
  </si>
  <si>
    <t>Svizzera Nord-occidentale</t>
  </si>
  <si>
    <t xml:space="preserve">Basilea Città            </t>
  </si>
  <si>
    <t xml:space="preserve">Basilea Campagna         </t>
  </si>
  <si>
    <t xml:space="preserve">Argovia                  </t>
  </si>
  <si>
    <t xml:space="preserve">Zurigo                   </t>
  </si>
  <si>
    <t xml:space="preserve">Svizzera orientale       </t>
  </si>
  <si>
    <t xml:space="preserve">Glarona                  </t>
  </si>
  <si>
    <t xml:space="preserve">Sciaffusa                </t>
  </si>
  <si>
    <t xml:space="preserve">Appenzello Esterno       </t>
  </si>
  <si>
    <t xml:space="preserve">Appenzello Interno       </t>
  </si>
  <si>
    <t xml:space="preserve">San Gallo                </t>
  </si>
  <si>
    <t xml:space="preserve">Grigioni                 </t>
  </si>
  <si>
    <t xml:space="preserve">Turgovia                 </t>
  </si>
  <si>
    <t xml:space="preserve">Svizzera centrale        </t>
  </si>
  <si>
    <t xml:space="preserve">Lucerna                  </t>
  </si>
  <si>
    <t xml:space="preserve">Uri                      </t>
  </si>
  <si>
    <t xml:space="preserve">Svitto                   </t>
  </si>
  <si>
    <t xml:space="preserve">Obvaldo                  </t>
  </si>
  <si>
    <t xml:space="preserve">Nidvaldo                 </t>
  </si>
  <si>
    <t xml:space="preserve">Zugo                     </t>
  </si>
  <si>
    <t xml:space="preserve">Ticino                   </t>
  </si>
  <si>
    <t>&lt;Legende_5&gt;</t>
  </si>
  <si>
    <t>T2</t>
  </si>
  <si>
    <t>&lt;T2Titel&gt;</t>
  </si>
  <si>
    <t>&lt;T2UTitel&gt;</t>
  </si>
  <si>
    <t>T3</t>
  </si>
  <si>
    <t>&lt;T3Titel&gt;</t>
  </si>
  <si>
    <t>&lt;T3UTitel&gt;</t>
  </si>
  <si>
    <t>T4</t>
  </si>
  <si>
    <t>&lt;T4Titel&gt;</t>
  </si>
  <si>
    <t>&lt;T4UTitel&gt;</t>
  </si>
  <si>
    <t>Exporte der Schweiz nach Grossregion und Kanton (inkl. Fürstentum Liechtenstein) seit 2016</t>
  </si>
  <si>
    <t>Esportazioni della Svizzera secondo la Grande Regione e il Cantone (incluso il Principato del Liechtenstein) dal 2016</t>
  </si>
  <si>
    <t>Exports da la Svizra tenor regiun gronda e tenor il chantun (incl. principadi da Liechtenstein) dapi l'onn 2016</t>
  </si>
  <si>
    <t>Wert in Millionen Franken</t>
  </si>
  <si>
    <t>Valur en milliuns francs</t>
  </si>
  <si>
    <t>Valore in milioni di franchi</t>
  </si>
  <si>
    <t>Konjunkturelles Total*</t>
  </si>
  <si>
    <t>Totale congiunturale*</t>
  </si>
  <si>
    <t>Total conjunctural*</t>
  </si>
  <si>
    <t>&lt;Zeilentitel_33&gt;</t>
  </si>
  <si>
    <t>&lt;Zeilentitel_34&gt;</t>
  </si>
  <si>
    <t>&lt;Zeilentitel_35&gt;</t>
  </si>
  <si>
    <t>Region nicht spezifiziert**</t>
  </si>
  <si>
    <t>Regiun betg specifica**</t>
  </si>
  <si>
    <t>Regione non specificata**</t>
  </si>
  <si>
    <t>Cantone non specificata</t>
  </si>
  <si>
    <t>Chantun betg specifica</t>
  </si>
  <si>
    <t>Kanton nicht spezifiziert</t>
  </si>
  <si>
    <t>Fürstentum Liechtenstein</t>
  </si>
  <si>
    <t>Principadi da Liechtenstein</t>
  </si>
  <si>
    <t>Principato del Liechtenstein</t>
  </si>
  <si>
    <t>* ohne Edelmetalle, Edel- und Schmucksteine, Kunstgegenstände und Antiquitäten</t>
  </si>
  <si>
    <t>* Esclusi metalli preziosi, pietre preziose e gioielli, oggetti d'arte e di antichità</t>
  </si>
  <si>
    <t>* Senza metals prezius, pedras preziusas e bischutaria, objects d'art ed antiquitads</t>
  </si>
  <si>
    <t>** Die nicht-spezifizierte Region enthält Fürstentum Liechtenstein und den nicht-spezifizierten Kanton</t>
  </si>
  <si>
    <t>** La regiun betg specifica cuntegna il principadi da Liechtenstein ed il chantun betg specificà</t>
  </si>
  <si>
    <t>** La regione non specificata comprende il Principato del Liechtenstein e il cantone non specificato</t>
  </si>
  <si>
    <t>Fonte: Amministrazione federale delle dogane (statistiche del commercio estero).</t>
  </si>
  <si>
    <t>Quelle: Eidgenössische Zollverwaltung (Aussenhandelsstatistik)</t>
  </si>
  <si>
    <t>Funtauna:Administraziun federala da duana (statistica dal commerzi cun l'exteriur)</t>
  </si>
  <si>
    <t>Gesamttotal</t>
  </si>
  <si>
    <t>Total cumplessiv</t>
  </si>
  <si>
    <t>Totale complessivo</t>
  </si>
  <si>
    <t>Importe der Schweiz nach Grossregion und Kanton (inkl. Fürstentum Liechtenstein) seit 2016</t>
  </si>
  <si>
    <t>Importazioni della Svizzera secondo la Grande Regione e il Cantone (incluso il Principato del Liechtenstein) dal 2016</t>
  </si>
  <si>
    <t>Imports da la Svizra tenor regiun gronda e tenor il chantun (incl. principadi da Liechtenstein) dapi l'onn 2016</t>
  </si>
  <si>
    <t>Exporte pro Kopf in der Schweiz nach Grossregion und Kanton (inkl. Fürstentum Liechtenstein) seit 2016</t>
  </si>
  <si>
    <t>Exports per chau en la Svizra tenor regiun gronda e tenor il chantun (incl. principadi da Liechtenstein) dapi l'onn 2016</t>
  </si>
  <si>
    <t>Importe pro Kopf in der Schweiz nach Grossregion und Kanton (inkl. Fürstentum Liechtenstein) seit 2016</t>
  </si>
  <si>
    <t>Imports per chau en la Svizra tenor regiun gronda e tenor il chantun (incl. principadi da Liechtenstein) dapi l'onn 2016</t>
  </si>
  <si>
    <t>Esportazioni pro capite in Svizzera secondo la Grande Regione e il Cantone (incluso il Principato del Liechtenstein) dal 2016</t>
  </si>
  <si>
    <t>Importazioni pro capite in Svizzera secondo la Grande Regione e il Cantone (incluso il Principato del Liechtenstein) dal 2016</t>
  </si>
  <si>
    <t>Wert in Franken</t>
  </si>
  <si>
    <t>Valur en francs</t>
  </si>
  <si>
    <t>Valore in franchi</t>
  </si>
  <si>
    <t>Letztmals aktualisiert am: 09.07.2025</t>
  </si>
  <si>
    <t>Ultima actualisaziun: 09.07.2025</t>
  </si>
  <si>
    <t>Ulimo aggiornamento: 09.07.2025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</si>
</sst>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* #,##0_ ;_ * \-#,##0_ ;_ * &quot;-&quot;??_ ;_ @_ "/>
    <numFmt numFmtId="165" formatCode="_-* #,##0.00\ _€_-;\-* #,##0.00\ _€_-;_-* &quot;-&quot;??\ _€_-;_-@_-"/>
    <numFmt numFmtId="166" formatCode="0.0"/>
    <numFmt numFmtId="167" formatCode="0.0%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rgb="FFFF0000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rgb="FF000000"/>
      <name val="Segoe UI"/>
      <family val="2"/>
    </font>
    <font>
      <sz val="8.5"/>
      <name val="Helvetica"/>
    </font>
    <font>
      <b/>
      <sz val="10"/>
      <name val="Arial"/>
      <family val="2"/>
    </font>
    <font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7" fillId="0" borderId="0"/>
    <xf numFmtId="0" fontId="13" fillId="0" borderId="0"/>
    <xf numFmtId="0" fontId="15" fillId="0" borderId="0"/>
  </cellStyleXfs>
  <cellXfs count="86">
    <xf numFmtId="0" fontId="0" fillId="0" borderId="0" xfId="0"/>
    <xf numFmtId="0" fontId="3" fillId="2" borderId="0" xfId="0" applyFont="1" applyFill="1"/>
    <xf numFmtId="0" fontId="5" fillId="2" borderId="0" xfId="0" applyFont="1" applyFill="1"/>
    <xf numFmtId="0" fontId="6" fillId="2" borderId="0" xfId="0" applyFont="1" applyFill="1"/>
    <xf numFmtId="164" fontId="7" fillId="2" borderId="0" xfId="4" applyNumberFormat="1" applyFont="1" applyFill="1" applyBorder="1" applyAlignment="1" applyProtection="1"/>
    <xf numFmtId="0" fontId="8" fillId="2" borderId="0" xfId="0" applyFont="1" applyFill="1" applyAlignment="1">
      <alignment horizontal="left" vertical="top" wrapText="1"/>
    </xf>
    <xf numFmtId="3" fontId="3" fillId="2" borderId="0" xfId="4" applyNumberFormat="1" applyFont="1" applyFill="1" applyBorder="1" applyAlignment="1" applyProtection="1">
      <alignment horizontal="right" wrapText="1"/>
    </xf>
    <xf numFmtId="167" fontId="3" fillId="2" borderId="0" xfId="2" applyNumberFormat="1" applyFont="1" applyFill="1" applyBorder="1" applyAlignment="1" applyProtection="1">
      <alignment horizontal="right" wrapText="1"/>
    </xf>
    <xf numFmtId="0" fontId="1" fillId="2" borderId="0" xfId="0" applyFont="1" applyFill="1"/>
    <xf numFmtId="0" fontId="8" fillId="3" borderId="1" xfId="0" applyFont="1" applyFill="1" applyBorder="1" applyAlignment="1">
      <alignment vertical="top"/>
    </xf>
    <xf numFmtId="0" fontId="6" fillId="2" borderId="0" xfId="0" applyFont="1" applyFill="1" applyAlignment="1">
      <alignment horizontal="left"/>
    </xf>
    <xf numFmtId="0" fontId="6" fillId="3" borderId="0" xfId="0" applyFont="1" applyFill="1" applyAlignment="1">
      <alignment horizontal="left" vertical="top"/>
    </xf>
    <xf numFmtId="0" fontId="8" fillId="3" borderId="0" xfId="0" applyFont="1" applyFill="1" applyAlignment="1">
      <alignment horizontal="left" vertical="center"/>
    </xf>
    <xf numFmtId="166" fontId="3" fillId="2" borderId="0" xfId="1" applyNumberFormat="1" applyFont="1" applyFill="1" applyBorder="1" applyAlignment="1" applyProtection="1">
      <alignment horizontal="right" vertical="center" wrapText="1"/>
    </xf>
    <xf numFmtId="0" fontId="10" fillId="4" borderId="0" xfId="0" applyFont="1" applyFill="1" applyBorder="1" applyAlignment="1">
      <alignment horizontal="left" vertical="top"/>
    </xf>
    <xf numFmtId="0" fontId="10" fillId="4" borderId="0" xfId="0" applyFont="1" applyFill="1" applyBorder="1" applyAlignment="1">
      <alignment horizontal="left" vertical="top" wrapText="1"/>
    </xf>
    <xf numFmtId="0" fontId="1" fillId="5" borderId="0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1" fillId="5" borderId="0" xfId="0" applyFont="1" applyFill="1" applyBorder="1" applyAlignment="1">
      <alignment horizontal="left" vertical="top"/>
    </xf>
    <xf numFmtId="0" fontId="1" fillId="5" borderId="0" xfId="0" applyFont="1" applyFill="1" applyBorder="1" applyAlignment="1" applyProtection="1">
      <alignment horizontal="left" vertical="top"/>
      <protection locked="0"/>
    </xf>
    <xf numFmtId="0" fontId="1" fillId="5" borderId="0" xfId="0" applyFont="1" applyFill="1" applyBorder="1" applyAlignment="1" applyProtection="1">
      <alignment horizontal="left" vertical="top" wrapText="1"/>
      <protection locked="0"/>
    </xf>
    <xf numFmtId="0" fontId="1" fillId="5" borderId="0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6" borderId="0" xfId="0" applyFont="1" applyFill="1" applyBorder="1" applyAlignment="1">
      <alignment horizontal="left" vertical="top"/>
    </xf>
    <xf numFmtId="0" fontId="1" fillId="6" borderId="0" xfId="0" applyFont="1" applyFill="1" applyBorder="1" applyAlignment="1">
      <alignment horizontal="left" vertical="top" wrapText="1"/>
    </xf>
    <xf numFmtId="0" fontId="7" fillId="2" borderId="0" xfId="0" applyFont="1" applyFill="1"/>
    <xf numFmtId="164" fontId="9" fillId="3" borderId="0" xfId="1" applyNumberFormat="1" applyFont="1" applyFill="1" applyBorder="1" applyAlignment="1" applyProtection="1">
      <alignment horizontal="left" vertical="top"/>
    </xf>
    <xf numFmtId="0" fontId="3" fillId="0" borderId="0" xfId="0" applyFont="1" applyFill="1" applyBorder="1"/>
    <xf numFmtId="0" fontId="1" fillId="0" borderId="0" xfId="0" applyFont="1" applyFill="1" applyBorder="1"/>
    <xf numFmtId="0" fontId="7" fillId="0" borderId="0" xfId="0" applyFont="1" applyFill="1" applyBorder="1"/>
    <xf numFmtId="0" fontId="0" fillId="0" borderId="0" xfId="0" applyFill="1" applyBorder="1"/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5" fillId="2" borderId="0" xfId="0" applyFont="1" applyFill="1" applyBorder="1"/>
    <xf numFmtId="0" fontId="8" fillId="2" borderId="0" xfId="0" applyFont="1" applyFill="1" applyBorder="1" applyAlignment="1">
      <alignment vertical="top" wrapText="1"/>
    </xf>
    <xf numFmtId="0" fontId="9" fillId="2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vertical="top" wrapText="1"/>
    </xf>
    <xf numFmtId="0" fontId="6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center" wrapText="1"/>
    </xf>
    <xf numFmtId="0" fontId="8" fillId="8" borderId="14" xfId="0" applyFont="1" applyFill="1" applyBorder="1" applyAlignment="1">
      <alignment vertical="top" wrapText="1"/>
    </xf>
    <xf numFmtId="0" fontId="8" fillId="3" borderId="14" xfId="0" applyFont="1" applyFill="1" applyBorder="1" applyAlignment="1">
      <alignment vertical="top" wrapText="1"/>
    </xf>
    <xf numFmtId="0" fontId="8" fillId="3" borderId="8" xfId="0" applyFont="1" applyFill="1" applyBorder="1" applyAlignment="1">
      <alignment vertical="top" wrapText="1"/>
    </xf>
    <xf numFmtId="0" fontId="3" fillId="0" borderId="13" xfId="1" applyNumberFormat="1" applyFont="1" applyFill="1" applyBorder="1" applyAlignment="1" applyProtection="1">
      <alignment horizontal="right" vertical="top" wrapText="1"/>
    </xf>
    <xf numFmtId="0" fontId="3" fillId="0" borderId="3" xfId="1" applyNumberFormat="1" applyFont="1" applyFill="1" applyBorder="1" applyAlignment="1" applyProtection="1">
      <alignment horizontal="right" vertical="top" wrapText="1"/>
    </xf>
    <xf numFmtId="0" fontId="8" fillId="7" borderId="14" xfId="0" applyFont="1" applyFill="1" applyBorder="1" applyAlignment="1">
      <alignment vertical="top" wrapText="1"/>
    </xf>
    <xf numFmtId="0" fontId="3" fillId="0" borderId="9" xfId="1" applyNumberFormat="1" applyFont="1" applyFill="1" applyBorder="1" applyAlignment="1" applyProtection="1">
      <alignment horizontal="right" vertical="top" wrapText="1"/>
    </xf>
    <xf numFmtId="0" fontId="3" fillId="0" borderId="10" xfId="1" applyNumberFormat="1" applyFont="1" applyFill="1" applyBorder="1" applyAlignment="1" applyProtection="1">
      <alignment horizontal="right" vertical="top" wrapText="1"/>
    </xf>
    <xf numFmtId="3" fontId="14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49" fontId="3" fillId="2" borderId="0" xfId="8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left" vertical="top"/>
    </xf>
    <xf numFmtId="164" fontId="3" fillId="8" borderId="12" xfId="1" applyNumberFormat="1" applyFont="1" applyFill="1" applyBorder="1" applyAlignment="1" applyProtection="1">
      <alignment horizontal="right" vertical="center" wrapText="1"/>
    </xf>
    <xf numFmtId="164" fontId="3" fillId="2" borderId="12" xfId="1" applyNumberFormat="1" applyFont="1" applyFill="1" applyBorder="1" applyAlignment="1" applyProtection="1">
      <alignment horizontal="right" vertical="center" wrapText="1"/>
    </xf>
    <xf numFmtId="164" fontId="3" fillId="7" borderId="12" xfId="1" applyNumberFormat="1" applyFont="1" applyFill="1" applyBorder="1" applyAlignment="1" applyProtection="1">
      <alignment horizontal="right" vertical="center" wrapText="1"/>
    </xf>
    <xf numFmtId="164" fontId="3" fillId="2" borderId="13" xfId="1" applyNumberFormat="1" applyFont="1" applyFill="1" applyBorder="1" applyAlignment="1" applyProtection="1">
      <alignment horizontal="right" vertical="center" wrapText="1"/>
    </xf>
    <xf numFmtId="0" fontId="4" fillId="2" borderId="0" xfId="0" applyFont="1" applyFill="1" applyAlignment="1">
      <alignment horizontal="left" vertical="top" wrapText="1"/>
    </xf>
    <xf numFmtId="0" fontId="8" fillId="3" borderId="0" xfId="0" applyFont="1" applyFill="1" applyBorder="1" applyAlignment="1">
      <alignment vertical="top"/>
    </xf>
    <xf numFmtId="164" fontId="14" fillId="2" borderId="18" xfId="1" applyNumberFormat="1" applyFont="1" applyFill="1" applyBorder="1" applyAlignment="1" applyProtection="1">
      <alignment horizontal="right" vertical="center" wrapText="1"/>
    </xf>
    <xf numFmtId="164" fontId="14" fillId="2" borderId="16" xfId="1" applyNumberFormat="1" applyFont="1" applyFill="1" applyBorder="1" applyAlignment="1" applyProtection="1">
      <alignment horizontal="right" vertical="center" wrapText="1"/>
    </xf>
    <xf numFmtId="164" fontId="14" fillId="2" borderId="15" xfId="1" applyNumberFormat="1" applyFont="1" applyFill="1" applyBorder="1" applyAlignment="1" applyProtection="1">
      <alignment horizontal="right" vertical="center" wrapText="1"/>
    </xf>
    <xf numFmtId="164" fontId="3" fillId="8" borderId="11" xfId="1" applyNumberFormat="1" applyFont="1" applyFill="1" applyBorder="1" applyAlignment="1" applyProtection="1">
      <alignment horizontal="right" vertical="center" wrapText="1"/>
    </xf>
    <xf numFmtId="164" fontId="3" fillId="8" borderId="2" xfId="1" applyNumberFormat="1" applyFont="1" applyFill="1" applyBorder="1" applyAlignment="1" applyProtection="1">
      <alignment horizontal="right" vertical="center" wrapText="1"/>
    </xf>
    <xf numFmtId="164" fontId="3" fillId="2" borderId="11" xfId="1" applyNumberFormat="1" applyFont="1" applyFill="1" applyBorder="1" applyAlignment="1" applyProtection="1">
      <alignment horizontal="right" vertical="center" wrapText="1"/>
    </xf>
    <xf numFmtId="164" fontId="3" fillId="2" borderId="2" xfId="1" applyNumberFormat="1" applyFont="1" applyFill="1" applyBorder="1" applyAlignment="1" applyProtection="1">
      <alignment horizontal="right" vertical="center" wrapText="1"/>
    </xf>
    <xf numFmtId="164" fontId="3" fillId="7" borderId="11" xfId="1" applyNumberFormat="1" applyFont="1" applyFill="1" applyBorder="1" applyAlignment="1" applyProtection="1">
      <alignment horizontal="right" vertical="center" wrapText="1"/>
    </xf>
    <xf numFmtId="164" fontId="3" fillId="7" borderId="2" xfId="1" applyNumberFormat="1" applyFont="1" applyFill="1" applyBorder="1" applyAlignment="1" applyProtection="1">
      <alignment horizontal="right" vertical="center" wrapText="1"/>
    </xf>
    <xf numFmtId="164" fontId="3" fillId="2" borderId="17" xfId="1" applyNumberFormat="1" applyFont="1" applyFill="1" applyBorder="1" applyAlignment="1" applyProtection="1">
      <alignment horizontal="right" vertical="center" wrapText="1"/>
    </xf>
    <xf numFmtId="164" fontId="3" fillId="2" borderId="3" xfId="1" applyNumberFormat="1" applyFont="1" applyFill="1" applyBorder="1" applyAlignment="1" applyProtection="1">
      <alignment horizontal="right" vertical="center" wrapText="1"/>
    </xf>
    <xf numFmtId="164" fontId="14" fillId="2" borderId="19" xfId="1" applyNumberFormat="1" applyFont="1" applyFill="1" applyBorder="1" applyAlignment="1" applyProtection="1">
      <alignment horizontal="right" vertical="center" wrapText="1"/>
    </xf>
    <xf numFmtId="164" fontId="3" fillId="8" borderId="20" xfId="1" applyNumberFormat="1" applyFont="1" applyFill="1" applyBorder="1" applyAlignment="1" applyProtection="1">
      <alignment horizontal="right" vertical="center" wrapText="1"/>
    </xf>
    <xf numFmtId="164" fontId="3" fillId="2" borderId="20" xfId="1" applyNumberFormat="1" applyFont="1" applyFill="1" applyBorder="1" applyAlignment="1" applyProtection="1">
      <alignment horizontal="right" vertical="center" wrapText="1"/>
    </xf>
    <xf numFmtId="164" fontId="3" fillId="7" borderId="20" xfId="1" applyNumberFormat="1" applyFont="1" applyFill="1" applyBorder="1" applyAlignment="1" applyProtection="1">
      <alignment horizontal="right" vertical="center" wrapText="1"/>
    </xf>
    <xf numFmtId="164" fontId="3" fillId="2" borderId="9" xfId="1" applyNumberFormat="1" applyFont="1" applyFill="1" applyBorder="1" applyAlignment="1" applyProtection="1">
      <alignment horizontal="right" vertical="center" wrapText="1"/>
    </xf>
    <xf numFmtId="0" fontId="3" fillId="0" borderId="17" xfId="1" applyNumberFormat="1" applyFont="1" applyFill="1" applyBorder="1" applyAlignment="1" applyProtection="1">
      <alignment horizontal="right" vertical="top" wrapText="1"/>
    </xf>
    <xf numFmtId="0" fontId="3" fillId="0" borderId="21" xfId="1" applyNumberFormat="1" applyFont="1" applyFill="1" applyBorder="1" applyAlignment="1" applyProtection="1">
      <alignment horizontal="right" vertical="top" wrapText="1"/>
    </xf>
    <xf numFmtId="0" fontId="4" fillId="2" borderId="0" xfId="0" applyFont="1" applyFill="1" applyAlignment="1">
      <alignment horizontal="left" vertical="top" wrapText="1"/>
    </xf>
    <xf numFmtId="0" fontId="9" fillId="7" borderId="4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0" fillId="0" borderId="6" xfId="0" applyBorder="1" applyAlignment="1"/>
  </cellXfs>
  <cellStyles count="9">
    <cellStyle name="Komma" xfId="1" builtinId="3"/>
    <cellStyle name="Komma 2" xfId="4" xr:uid="{00000000-0005-0000-0000-000001000000}"/>
    <cellStyle name="Komma 3" xfId="5" xr:uid="{00000000-0005-0000-0000-000002000000}"/>
    <cellStyle name="Normal 2" xfId="6" xr:uid="{00000000-0005-0000-0000-000003000000}"/>
    <cellStyle name="Normal 3" xfId="7" xr:uid="{00000000-0005-0000-0000-000004000000}"/>
    <cellStyle name="Normal_Feuil1" xfId="8" xr:uid="{00000000-0005-0000-0000-000005000000}"/>
    <cellStyle name="Prozent" xfId="2" builtinId="5"/>
    <cellStyle name="Standard" xfId="0" builtinId="0"/>
    <cellStyle name="Standard 2" xfId="3" xr:uid="{00000000-0005-0000-0000-000008000000}"/>
  </cellStyles>
  <dxfs count="0"/>
  <tableStyles count="0" defaultTableStyle="TableStyleMedium2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0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800100</xdr:colOff>
      <xdr:row>0</xdr:row>
      <xdr:rowOff>19050</xdr:rowOff>
    </xdr:from>
    <xdr:to>
      <xdr:col>7</xdr:col>
      <xdr:colOff>123825</xdr:colOff>
      <xdr:row>5</xdr:row>
      <xdr:rowOff>28575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pSpPr/>
      </xdr:nvGrpSpPr>
      <xdr:grpSpPr>
        <a:xfrm>
          <a:off x="5010150" y="19050"/>
          <a:ext cx="2667000" cy="876300"/>
          <a:chOff x="6010275" y="133350"/>
          <a:chExt cx="2047875" cy="819150"/>
        </a:xfrm>
        <a:solidFill>
          <a:srgbClr val="00B0F0"/>
        </a:solidFill>
      </xdr:grpSpPr>
      <xdr:sp macro="" textlink="">
        <xdr:nvSpPr>
          <xdr:cNvPr id="3" name="Rechteck 2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6010275" y="133350"/>
            <a:ext cx="2047875" cy="819150"/>
          </a:xfrm>
          <a:prstGeom prst="rect">
            <a:avLst/>
          </a:prstGeom>
          <a:grp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4" name="Gruppieren 3">
                <a:extLst>
                  <a:ext uri="{FF2B5EF4-FFF2-40B4-BE49-F238E27FC236}">
                    <a16:creationId xmlns:a16="http://schemas.microsoft.com/office/drawing/2014/main" id="{00000000-0008-0000-0000-00001C000000}"/>
                  </a:ext>
                </a:extLst>
              </xdr:cNvPr>
              <xdr:cNvGrpSpPr/>
            </xdr:nvGrpSpPr>
            <xdr:grpSpPr>
              <a:xfrm>
                <a:off x="6553200" y="374277"/>
                <a:ext cx="1200149" cy="533400"/>
                <a:chOff x="6553200" y="374277"/>
                <a:chExt cx="1200149" cy="533400"/>
              </a:xfrm>
              <a:grpFill/>
            </xdr:grpSpPr>
            <xdr:sp macro="" textlink="">
              <xdr:nvSpPr>
                <xdr:cNvPr id="52225" name="Option Button 1" hidden="1">
                  <a:extLst>
                    <a:ext uri="{63B3BB69-23CF-44E3-9099-C40C66FF867C}">
                      <a14:compatExt spid="_x0000_s52225"/>
                    </a:ext>
                    <a:ext uri="{FF2B5EF4-FFF2-40B4-BE49-F238E27FC236}">
                      <a16:creationId xmlns:a16="http://schemas.microsoft.com/office/drawing/2014/main" id="{00000000-0008-0000-0000-000001CC0000}"/>
                    </a:ext>
                  </a:extLst>
                </xdr:cNvPr>
                <xdr:cNvSpPr/>
              </xdr:nvSpPr>
              <xdr:spPr bwMode="auto">
                <a:xfrm>
                  <a:off x="6553200" y="374277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52226" name="Option Button 2" hidden="1">
                  <a:extLst>
                    <a:ext uri="{63B3BB69-23CF-44E3-9099-C40C66FF867C}">
                      <a14:compatExt spid="_x0000_s52226"/>
                    </a:ext>
                    <a:ext uri="{FF2B5EF4-FFF2-40B4-BE49-F238E27FC236}">
                      <a16:creationId xmlns:a16="http://schemas.microsoft.com/office/drawing/2014/main" id="{00000000-0008-0000-0000-000002CC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49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52227" name="Option Button 3" hidden="1">
                  <a:extLst>
                    <a:ext uri="{63B3BB69-23CF-44E3-9099-C40C66FF867C}">
                      <a14:compatExt spid="_x0000_s52227"/>
                    </a:ext>
                    <a:ext uri="{FF2B5EF4-FFF2-40B4-BE49-F238E27FC236}">
                      <a16:creationId xmlns:a16="http://schemas.microsoft.com/office/drawing/2014/main" id="{00000000-0008-0000-0000-000003CC0000}"/>
                    </a:ext>
                  </a:extLst>
                </xdr:cNvPr>
                <xdr:cNvSpPr/>
              </xdr:nvSpPr>
              <xdr:spPr bwMode="auto">
                <a:xfrm>
                  <a:off x="6553200" y="698126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758825</xdr:colOff>
      <xdr:row>5</xdr:row>
      <xdr:rowOff>70877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376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800100</xdr:colOff>
      <xdr:row>0</xdr:row>
      <xdr:rowOff>19050</xdr:rowOff>
    </xdr:from>
    <xdr:to>
      <xdr:col>7</xdr:col>
      <xdr:colOff>123825</xdr:colOff>
      <xdr:row>5</xdr:row>
      <xdr:rowOff>28575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pSpPr/>
      </xdr:nvGrpSpPr>
      <xdr:grpSpPr>
        <a:xfrm>
          <a:off x="5010150" y="19050"/>
          <a:ext cx="2667000" cy="876300"/>
          <a:chOff x="6010275" y="133350"/>
          <a:chExt cx="2047875" cy="819150"/>
        </a:xfrm>
        <a:solidFill>
          <a:srgbClr val="00B0F0"/>
        </a:solidFill>
      </xdr:grpSpPr>
      <xdr:sp macro="" textlink="">
        <xdr:nvSpPr>
          <xdr:cNvPr id="3" name="Rechteck 2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6010275" y="133350"/>
            <a:ext cx="2047875" cy="819150"/>
          </a:xfrm>
          <a:prstGeom prst="rect">
            <a:avLst/>
          </a:prstGeom>
          <a:grp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4" name="Gruppieren 3">
                <a:extLst>
                  <a:ext uri="{FF2B5EF4-FFF2-40B4-BE49-F238E27FC236}">
                    <a16:creationId xmlns:a16="http://schemas.microsoft.com/office/drawing/2014/main" id="{00000000-0008-0000-0000-00001C000000}"/>
                  </a:ext>
                </a:extLst>
              </xdr:cNvPr>
              <xdr:cNvGrpSpPr/>
            </xdr:nvGrpSpPr>
            <xdr:grpSpPr>
              <a:xfrm>
                <a:off x="6553200" y="374277"/>
                <a:ext cx="1200149" cy="533400"/>
                <a:chOff x="6553200" y="374277"/>
                <a:chExt cx="1200149" cy="533400"/>
              </a:xfrm>
              <a:grpFill/>
            </xdr:grpSpPr>
            <xdr:sp macro="" textlink="">
              <xdr:nvSpPr>
                <xdr:cNvPr id="55297" name="Option Button 1" hidden="1">
                  <a:extLst>
                    <a:ext uri="{63B3BB69-23CF-44E3-9099-C40C66FF867C}">
                      <a14:compatExt spid="_x0000_s55297"/>
                    </a:ext>
                    <a:ext uri="{FF2B5EF4-FFF2-40B4-BE49-F238E27FC236}">
                      <a16:creationId xmlns:a16="http://schemas.microsoft.com/office/drawing/2014/main" id="{00000000-0008-0000-0100-000001D80000}"/>
                    </a:ext>
                  </a:extLst>
                </xdr:cNvPr>
                <xdr:cNvSpPr/>
              </xdr:nvSpPr>
              <xdr:spPr bwMode="auto">
                <a:xfrm>
                  <a:off x="6553200" y="374277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55298" name="Option Button 2" hidden="1">
                  <a:extLst>
                    <a:ext uri="{63B3BB69-23CF-44E3-9099-C40C66FF867C}">
                      <a14:compatExt spid="_x0000_s55298"/>
                    </a:ext>
                    <a:ext uri="{FF2B5EF4-FFF2-40B4-BE49-F238E27FC236}">
                      <a16:creationId xmlns:a16="http://schemas.microsoft.com/office/drawing/2014/main" id="{00000000-0008-0000-0100-000002D8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49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55299" name="Option Button 3" hidden="1">
                  <a:extLst>
                    <a:ext uri="{63B3BB69-23CF-44E3-9099-C40C66FF867C}">
                      <a14:compatExt spid="_x0000_s55299"/>
                    </a:ext>
                    <a:ext uri="{FF2B5EF4-FFF2-40B4-BE49-F238E27FC236}">
                      <a16:creationId xmlns:a16="http://schemas.microsoft.com/office/drawing/2014/main" id="{00000000-0008-0000-0100-000003D80000}"/>
                    </a:ext>
                  </a:extLst>
                </xdr:cNvPr>
                <xdr:cNvSpPr/>
              </xdr:nvSpPr>
              <xdr:spPr bwMode="auto">
                <a:xfrm>
                  <a:off x="6553200" y="698126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758825</xdr:colOff>
      <xdr:row>5</xdr:row>
      <xdr:rowOff>70877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376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790575</xdr:colOff>
      <xdr:row>0</xdr:row>
      <xdr:rowOff>19050</xdr:rowOff>
    </xdr:from>
    <xdr:to>
      <xdr:col>7</xdr:col>
      <xdr:colOff>114300</xdr:colOff>
      <xdr:row>5</xdr:row>
      <xdr:rowOff>28575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pSpPr/>
      </xdr:nvGrpSpPr>
      <xdr:grpSpPr>
        <a:xfrm>
          <a:off x="5000625" y="19050"/>
          <a:ext cx="2667000" cy="876300"/>
          <a:chOff x="6010275" y="133350"/>
          <a:chExt cx="2047875" cy="819150"/>
        </a:xfrm>
        <a:solidFill>
          <a:srgbClr val="00B0F0"/>
        </a:solidFill>
      </xdr:grpSpPr>
      <xdr:sp macro="" textlink="">
        <xdr:nvSpPr>
          <xdr:cNvPr id="3" name="Rechteck 2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6010275" y="133350"/>
            <a:ext cx="2047875" cy="819150"/>
          </a:xfrm>
          <a:prstGeom prst="rect">
            <a:avLst/>
          </a:prstGeom>
          <a:grp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4" name="Gruppieren 3">
                <a:extLst>
                  <a:ext uri="{FF2B5EF4-FFF2-40B4-BE49-F238E27FC236}">
                    <a16:creationId xmlns:a16="http://schemas.microsoft.com/office/drawing/2014/main" id="{00000000-0008-0000-0000-00001C000000}"/>
                  </a:ext>
                </a:extLst>
              </xdr:cNvPr>
              <xdr:cNvGrpSpPr/>
            </xdr:nvGrpSpPr>
            <xdr:grpSpPr>
              <a:xfrm>
                <a:off x="6553200" y="374277"/>
                <a:ext cx="1200149" cy="533400"/>
                <a:chOff x="6553200" y="374277"/>
                <a:chExt cx="1200149" cy="533400"/>
              </a:xfrm>
              <a:grpFill/>
            </xdr:grpSpPr>
            <xdr:sp macro="" textlink="">
              <xdr:nvSpPr>
                <xdr:cNvPr id="56321" name="Option Button 1" hidden="1">
                  <a:extLst>
                    <a:ext uri="{63B3BB69-23CF-44E3-9099-C40C66FF867C}">
                      <a14:compatExt spid="_x0000_s56321"/>
                    </a:ext>
                    <a:ext uri="{FF2B5EF4-FFF2-40B4-BE49-F238E27FC236}">
                      <a16:creationId xmlns:a16="http://schemas.microsoft.com/office/drawing/2014/main" id="{00000000-0008-0000-0200-000001DC0000}"/>
                    </a:ext>
                  </a:extLst>
                </xdr:cNvPr>
                <xdr:cNvSpPr/>
              </xdr:nvSpPr>
              <xdr:spPr bwMode="auto">
                <a:xfrm>
                  <a:off x="6553200" y="374277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56322" name="Option Button 2" hidden="1">
                  <a:extLst>
                    <a:ext uri="{63B3BB69-23CF-44E3-9099-C40C66FF867C}">
                      <a14:compatExt spid="_x0000_s56322"/>
                    </a:ext>
                    <a:ext uri="{FF2B5EF4-FFF2-40B4-BE49-F238E27FC236}">
                      <a16:creationId xmlns:a16="http://schemas.microsoft.com/office/drawing/2014/main" id="{00000000-0008-0000-0200-000002DC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49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56323" name="Option Button 3" hidden="1">
                  <a:extLst>
                    <a:ext uri="{63B3BB69-23CF-44E3-9099-C40C66FF867C}">
                      <a14:compatExt spid="_x0000_s56323"/>
                    </a:ext>
                    <a:ext uri="{FF2B5EF4-FFF2-40B4-BE49-F238E27FC236}">
                      <a16:creationId xmlns:a16="http://schemas.microsoft.com/office/drawing/2014/main" id="{00000000-0008-0000-0200-000003DC0000}"/>
                    </a:ext>
                  </a:extLst>
                </xdr:cNvPr>
                <xdr:cNvSpPr/>
              </xdr:nvSpPr>
              <xdr:spPr bwMode="auto">
                <a:xfrm>
                  <a:off x="6553200" y="698126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758825</xdr:colOff>
      <xdr:row>5</xdr:row>
      <xdr:rowOff>70877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376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790575</xdr:colOff>
      <xdr:row>0</xdr:row>
      <xdr:rowOff>19050</xdr:rowOff>
    </xdr:from>
    <xdr:to>
      <xdr:col>7</xdr:col>
      <xdr:colOff>114300</xdr:colOff>
      <xdr:row>5</xdr:row>
      <xdr:rowOff>28575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pSpPr/>
      </xdr:nvGrpSpPr>
      <xdr:grpSpPr>
        <a:xfrm>
          <a:off x="5000625" y="19050"/>
          <a:ext cx="2667000" cy="876300"/>
          <a:chOff x="6010275" y="133350"/>
          <a:chExt cx="2047875" cy="819150"/>
        </a:xfrm>
        <a:solidFill>
          <a:srgbClr val="00B0F0"/>
        </a:solidFill>
      </xdr:grpSpPr>
      <xdr:sp macro="" textlink="">
        <xdr:nvSpPr>
          <xdr:cNvPr id="3" name="Rechteck 2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6010275" y="133350"/>
            <a:ext cx="2047875" cy="819150"/>
          </a:xfrm>
          <a:prstGeom prst="rect">
            <a:avLst/>
          </a:prstGeom>
          <a:grp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4" name="Gruppieren 3">
                <a:extLst>
                  <a:ext uri="{FF2B5EF4-FFF2-40B4-BE49-F238E27FC236}">
                    <a16:creationId xmlns:a16="http://schemas.microsoft.com/office/drawing/2014/main" id="{00000000-0008-0000-0000-00001C000000}"/>
                  </a:ext>
                </a:extLst>
              </xdr:cNvPr>
              <xdr:cNvGrpSpPr/>
            </xdr:nvGrpSpPr>
            <xdr:grpSpPr>
              <a:xfrm>
                <a:off x="6553200" y="374277"/>
                <a:ext cx="1200149" cy="533400"/>
                <a:chOff x="6553200" y="374277"/>
                <a:chExt cx="1200149" cy="533400"/>
              </a:xfrm>
              <a:grpFill/>
            </xdr:grpSpPr>
            <xdr:sp macro="" textlink="">
              <xdr:nvSpPr>
                <xdr:cNvPr id="57345" name="Option Button 1" hidden="1">
                  <a:extLst>
                    <a:ext uri="{63B3BB69-23CF-44E3-9099-C40C66FF867C}">
                      <a14:compatExt spid="_x0000_s57345"/>
                    </a:ext>
                    <a:ext uri="{FF2B5EF4-FFF2-40B4-BE49-F238E27FC236}">
                      <a16:creationId xmlns:a16="http://schemas.microsoft.com/office/drawing/2014/main" id="{00000000-0008-0000-0300-000001E00000}"/>
                    </a:ext>
                  </a:extLst>
                </xdr:cNvPr>
                <xdr:cNvSpPr/>
              </xdr:nvSpPr>
              <xdr:spPr bwMode="auto">
                <a:xfrm>
                  <a:off x="6553200" y="374277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57346" name="Option Button 2" hidden="1">
                  <a:extLst>
                    <a:ext uri="{63B3BB69-23CF-44E3-9099-C40C66FF867C}">
                      <a14:compatExt spid="_x0000_s57346"/>
                    </a:ext>
                    <a:ext uri="{FF2B5EF4-FFF2-40B4-BE49-F238E27FC236}">
                      <a16:creationId xmlns:a16="http://schemas.microsoft.com/office/drawing/2014/main" id="{00000000-0008-0000-0300-000002E0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49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57347" name="Option Button 3" hidden="1">
                  <a:extLst>
                    <a:ext uri="{63B3BB69-23CF-44E3-9099-C40C66FF867C}">
                      <a14:compatExt spid="_x0000_s57347"/>
                    </a:ext>
                    <a:ext uri="{FF2B5EF4-FFF2-40B4-BE49-F238E27FC236}">
                      <a16:creationId xmlns:a16="http://schemas.microsoft.com/office/drawing/2014/main" id="{00000000-0008-0000-0300-000003E00000}"/>
                    </a:ext>
                  </a:extLst>
                </xdr:cNvPr>
                <xdr:cNvSpPr/>
              </xdr:nvSpPr>
              <xdr:spPr bwMode="auto">
                <a:xfrm>
                  <a:off x="6553200" y="698126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758825</xdr:colOff>
      <xdr:row>5</xdr:row>
      <xdr:rowOff>70877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3765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6"/>
  <sheetViews>
    <sheetView showGridLines="0" tabSelected="1" zoomScaleNormal="100" workbookViewId="0"/>
  </sheetViews>
  <sheetFormatPr baseColWidth="10" defaultColWidth="9.140625" defaultRowHeight="14.25" x14ac:dyDescent="0.2"/>
  <cols>
    <col min="1" max="1" width="25.85546875" style="25" customWidth="1"/>
    <col min="2" max="2" width="3.85546875" style="25" customWidth="1"/>
    <col min="3" max="11" width="16.7109375" style="25" customWidth="1"/>
    <col min="12" max="12" width="3.85546875" style="25" customWidth="1"/>
    <col min="13" max="20" width="16.7109375" style="25" customWidth="1"/>
    <col min="21" max="21" width="16.7109375" style="29" customWidth="1"/>
    <col min="22" max="16384" width="9.140625" style="29"/>
  </cols>
  <sheetData>
    <row r="1" spans="1:21" s="27" customFormat="1" ht="12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1" s="27" customFormat="1" x14ac:dyDescent="0.2">
      <c r="A2" s="1"/>
      <c r="B2" s="1"/>
      <c r="C2" s="25"/>
      <c r="D2" s="25"/>
      <c r="E2" s="25"/>
      <c r="F2" s="1"/>
      <c r="G2" s="1"/>
      <c r="H2" s="1"/>
      <c r="I2" s="1"/>
      <c r="J2" s="1"/>
      <c r="K2" s="1"/>
      <c r="L2" s="1"/>
      <c r="M2" s="25"/>
      <c r="N2" s="25"/>
      <c r="O2" s="25"/>
      <c r="P2" s="25"/>
      <c r="Q2" s="25"/>
      <c r="R2" s="25"/>
      <c r="S2" s="1"/>
      <c r="T2" s="1"/>
    </row>
    <row r="3" spans="1:21" s="27" customFormat="1" x14ac:dyDescent="0.2">
      <c r="A3" s="1"/>
      <c r="B3" s="1"/>
      <c r="C3" s="25"/>
      <c r="D3" s="25"/>
      <c r="E3" s="25"/>
      <c r="F3" s="1"/>
      <c r="G3" s="1"/>
      <c r="H3" s="1"/>
      <c r="I3" s="1"/>
      <c r="J3" s="1"/>
      <c r="K3" s="1"/>
      <c r="L3" s="1"/>
      <c r="M3" s="25"/>
      <c r="N3" s="25"/>
      <c r="O3" s="25"/>
      <c r="P3" s="25"/>
      <c r="Q3" s="25"/>
      <c r="R3" s="25"/>
      <c r="S3" s="1"/>
      <c r="T3" s="1"/>
    </row>
    <row r="4" spans="1:21" s="27" customFormat="1" x14ac:dyDescent="0.2">
      <c r="A4" s="1"/>
      <c r="B4" s="1"/>
      <c r="C4" s="25"/>
      <c r="D4" s="25"/>
      <c r="E4" s="25"/>
      <c r="F4" s="1"/>
      <c r="G4" s="1"/>
      <c r="H4" s="1"/>
      <c r="I4" s="1"/>
      <c r="J4" s="1"/>
      <c r="K4" s="1"/>
      <c r="L4" s="1"/>
      <c r="M4" s="25"/>
      <c r="N4" s="25"/>
      <c r="O4" s="25"/>
      <c r="P4" s="25"/>
      <c r="Q4" s="25"/>
      <c r="R4" s="25"/>
      <c r="S4" s="1"/>
      <c r="T4" s="1"/>
    </row>
    <row r="5" spans="1:21" s="27" customFormat="1" ht="12.7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1" s="27" customFormat="1" ht="12.7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1" s="27" customFormat="1" ht="15.75" customHeight="1" x14ac:dyDescent="0.2">
      <c r="A7" s="79" t="str">
        <f>VLOOKUP("&lt;Fachbereich&gt;",Uebersetzungen!$B$3:$E$60,Uebersetzungen!$B$2+1,FALSE)</f>
        <v>Daten &amp; Statistik</v>
      </c>
      <c r="B7" s="79"/>
      <c r="C7" s="79"/>
      <c r="D7" s="79"/>
      <c r="E7" s="31"/>
      <c r="F7" s="2"/>
      <c r="G7" s="2"/>
      <c r="H7" s="2"/>
      <c r="I7" s="2"/>
      <c r="J7" s="2"/>
      <c r="K7" s="2"/>
      <c r="L7" s="33"/>
      <c r="O7" s="31"/>
      <c r="P7" s="59"/>
      <c r="Q7" s="59"/>
      <c r="R7" s="59"/>
      <c r="S7" s="2"/>
      <c r="T7" s="2"/>
    </row>
    <row r="8" spans="1:21" s="27" customFormat="1" ht="12.7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1" s="28" customFormat="1" ht="18" x14ac:dyDescent="0.2">
      <c r="A9" s="11" t="str">
        <f>VLOOKUP("&lt;Titel&gt;",Uebersetzungen!$B$3:$E$334,Uebersetzungen!$B$2+1,FALSE)</f>
        <v>Exporte der Schweiz nach Grossregion und Kanton (inkl. Fürstentum Liechtenstein) seit 2016</v>
      </c>
      <c r="B9" s="37"/>
      <c r="C9" s="26"/>
      <c r="D9" s="26"/>
      <c r="E9" s="26"/>
      <c r="F9" s="26"/>
      <c r="G9" s="26"/>
      <c r="H9" s="26"/>
      <c r="I9" s="26"/>
      <c r="J9" s="26"/>
      <c r="K9" s="26"/>
      <c r="L9" s="37"/>
      <c r="M9" s="26"/>
      <c r="N9" s="26"/>
      <c r="O9" s="26"/>
      <c r="P9" s="26"/>
      <c r="Q9" s="26"/>
      <c r="R9" s="26"/>
      <c r="S9" s="26"/>
      <c r="T9" s="26"/>
    </row>
    <row r="10" spans="1:21" s="28" customFormat="1" ht="12.75" x14ac:dyDescent="0.2">
      <c r="A10" s="12" t="str">
        <f>VLOOKUP("&lt;UTitel&gt;",Uebersetzungen!$B$3:$E$302,Uebersetzungen!$B$2+1,FALSE)</f>
        <v>Wert in Millionen Franken</v>
      </c>
      <c r="B10" s="38"/>
      <c r="C10" s="26"/>
      <c r="D10" s="26"/>
      <c r="E10" s="26"/>
      <c r="F10" s="26"/>
      <c r="G10" s="26"/>
      <c r="H10" s="26"/>
      <c r="I10" s="26"/>
      <c r="J10" s="26"/>
      <c r="K10" s="26"/>
      <c r="L10" s="38"/>
      <c r="M10" s="26"/>
      <c r="N10" s="26"/>
      <c r="O10" s="26"/>
      <c r="P10" s="26"/>
      <c r="Q10" s="26"/>
      <c r="R10" s="26"/>
      <c r="S10" s="26"/>
      <c r="T10" s="26"/>
    </row>
    <row r="11" spans="1:21" ht="18.75" thickBot="1" x14ac:dyDescent="0.3">
      <c r="C11" s="10"/>
      <c r="D11" s="4"/>
      <c r="E11" s="4"/>
      <c r="F11" s="4"/>
      <c r="G11" s="4"/>
      <c r="H11" s="4"/>
      <c r="I11" s="4"/>
      <c r="J11" s="4"/>
      <c r="K11" s="4"/>
      <c r="M11" s="10"/>
      <c r="N11" s="4"/>
      <c r="O11" s="4"/>
      <c r="P11" s="4"/>
      <c r="Q11" s="4"/>
      <c r="R11" s="4"/>
      <c r="S11" s="4"/>
      <c r="T11" s="4"/>
    </row>
    <row r="12" spans="1:21" s="30" customFormat="1" ht="37.5" customHeight="1" thickBot="1" x14ac:dyDescent="0.3">
      <c r="A12" s="3"/>
      <c r="B12" s="3"/>
      <c r="C12" s="80" t="str">
        <f>VLOOKUP("&lt;SpaltenTitel_1&gt;",Uebersetzungen!$B$3:$E$334,Uebersetzungen!$B$2+1,FALSE)</f>
        <v>Konjunkturelles Total*</v>
      </c>
      <c r="D12" s="81"/>
      <c r="E12" s="81"/>
      <c r="F12" s="81"/>
      <c r="G12" s="81"/>
      <c r="H12" s="81"/>
      <c r="I12" s="81"/>
      <c r="J12" s="81"/>
      <c r="K12" s="82"/>
      <c r="L12" s="3"/>
      <c r="M12" s="83" t="str">
        <f>VLOOKUP("&lt;SpaltenTitel_2&gt;",Uebersetzungen!$B$3:$E$334,Uebersetzungen!$B$2+1,FALSE)</f>
        <v>Gesamttotal</v>
      </c>
      <c r="N12" s="84"/>
      <c r="O12" s="84"/>
      <c r="P12" s="84"/>
      <c r="Q12" s="84"/>
      <c r="R12" s="84"/>
      <c r="S12" s="84"/>
      <c r="T12" s="84"/>
      <c r="U12" s="85"/>
    </row>
    <row r="13" spans="1:21" s="30" customFormat="1" ht="30" customHeight="1" thickBot="1" x14ac:dyDescent="0.3">
      <c r="A13" s="34"/>
      <c r="B13" s="34"/>
      <c r="C13" s="45">
        <v>2016</v>
      </c>
      <c r="D13" s="48">
        <v>2017</v>
      </c>
      <c r="E13" s="77">
        <v>2018</v>
      </c>
      <c r="F13" s="49">
        <v>2019</v>
      </c>
      <c r="G13" s="49">
        <v>2020</v>
      </c>
      <c r="H13" s="49">
        <v>2021</v>
      </c>
      <c r="I13" s="49">
        <v>2022</v>
      </c>
      <c r="J13" s="48">
        <v>2023</v>
      </c>
      <c r="K13" s="46">
        <v>2024</v>
      </c>
      <c r="L13" s="34"/>
      <c r="M13" s="45">
        <v>2016</v>
      </c>
      <c r="N13" s="48">
        <v>2017</v>
      </c>
      <c r="O13" s="77">
        <v>2018</v>
      </c>
      <c r="P13" s="49">
        <v>2019</v>
      </c>
      <c r="Q13" s="49">
        <v>2020</v>
      </c>
      <c r="R13" s="49">
        <v>2021</v>
      </c>
      <c r="S13" s="49">
        <v>2022</v>
      </c>
      <c r="T13" s="48">
        <v>2023</v>
      </c>
      <c r="U13" s="78">
        <v>2024</v>
      </c>
    </row>
    <row r="14" spans="1:21" s="28" customFormat="1" ht="12.75" x14ac:dyDescent="0.2">
      <c r="A14" s="41" t="str">
        <f>VLOOKUP("&lt;Zeilentitel_1&gt;",Uebersetzungen!$B$3:$E$60,Uebersetzungen!$B$2+1,FALSE)</f>
        <v>Total</v>
      </c>
      <c r="B14" s="35"/>
      <c r="C14" s="61">
        <v>210472.920873005</v>
      </c>
      <c r="D14" s="62">
        <v>220582.40465000601</v>
      </c>
      <c r="E14" s="62">
        <v>233224.17964203798</v>
      </c>
      <c r="F14" s="62">
        <v>242343.84199703499</v>
      </c>
      <c r="G14" s="72">
        <v>225291.228927018</v>
      </c>
      <c r="H14" s="72">
        <v>259779.83078898903</v>
      </c>
      <c r="I14" s="72">
        <v>277652.092339041</v>
      </c>
      <c r="J14" s="72">
        <v>274107.42352899897</v>
      </c>
      <c r="K14" s="63">
        <v>283005.71834020899</v>
      </c>
      <c r="L14" s="50"/>
      <c r="M14" s="61">
        <v>298408.00118102197</v>
      </c>
      <c r="N14" s="62">
        <v>294893.85689202399</v>
      </c>
      <c r="O14" s="62">
        <v>303885.75954008399</v>
      </c>
      <c r="P14" s="62">
        <v>311976.70643601898</v>
      </c>
      <c r="Q14" s="62">
        <v>299461.57990402397</v>
      </c>
      <c r="R14" s="62">
        <v>347727.70981304796</v>
      </c>
      <c r="S14" s="62">
        <v>382668.09719800099</v>
      </c>
      <c r="T14" s="72">
        <v>377799.89613997901</v>
      </c>
      <c r="U14" s="63">
        <v>393833.52169878897</v>
      </c>
    </row>
    <row r="15" spans="1:21" s="28" customFormat="1" ht="12.75" x14ac:dyDescent="0.2">
      <c r="A15" s="42" t="str">
        <f>VLOOKUP("&lt;Zeilentitel_2&gt;",Uebersetzungen!$B$3:$E$60,Uebersetzungen!$B$2+1,FALSE)</f>
        <v>Genferseeregion</v>
      </c>
      <c r="B15" s="34"/>
      <c r="C15" s="55">
        <v>35696.056002068704</v>
      </c>
      <c r="D15" s="64">
        <v>36650.332238505995</v>
      </c>
      <c r="E15" s="64">
        <v>38198.605694306505</v>
      </c>
      <c r="F15" s="64">
        <v>38832.586837396404</v>
      </c>
      <c r="G15" s="73">
        <v>32740.136675643</v>
      </c>
      <c r="H15" s="73">
        <v>39579.042256570603</v>
      </c>
      <c r="I15" s="73">
        <v>44306.415759603995</v>
      </c>
      <c r="J15" s="73">
        <v>44260.2790008628</v>
      </c>
      <c r="K15" s="65">
        <v>42634.801722687596</v>
      </c>
      <c r="L15" s="51"/>
      <c r="M15" s="55">
        <v>55281.710754793603</v>
      </c>
      <c r="N15" s="64">
        <v>53029.066010001603</v>
      </c>
      <c r="O15" s="64">
        <v>53435.356996698603</v>
      </c>
      <c r="P15" s="64">
        <v>56989.195747888298</v>
      </c>
      <c r="Q15" s="64">
        <v>47496.045620609002</v>
      </c>
      <c r="R15" s="64">
        <v>45191.226395971396</v>
      </c>
      <c r="S15" s="64">
        <v>51966.590366271601</v>
      </c>
      <c r="T15" s="73">
        <v>51200.250123878301</v>
      </c>
      <c r="U15" s="65">
        <v>50387.350611283095</v>
      </c>
    </row>
    <row r="16" spans="1:21" s="28" customFormat="1" ht="12.75" x14ac:dyDescent="0.2">
      <c r="A16" s="43" t="str">
        <f>VLOOKUP("&lt;Zeilentitel_5&gt;",Uebersetzungen!$B$3:$E$60,Uebersetzungen!$B$2+1,FALSE)</f>
        <v>Genf</v>
      </c>
      <c r="B16" s="34"/>
      <c r="C16" s="56">
        <v>17266.458559257801</v>
      </c>
      <c r="D16" s="66">
        <v>17980.641635146501</v>
      </c>
      <c r="E16" s="66">
        <v>19381.029970289699</v>
      </c>
      <c r="F16" s="66">
        <v>20078.106776819001</v>
      </c>
      <c r="G16" s="74">
        <v>15953.017772003799</v>
      </c>
      <c r="H16" s="74">
        <v>19879.146056835998</v>
      </c>
      <c r="I16" s="74">
        <v>22338.703396484299</v>
      </c>
      <c r="J16" s="74">
        <v>23238.775159207198</v>
      </c>
      <c r="K16" s="67">
        <v>23028.359398672797</v>
      </c>
      <c r="L16" s="52"/>
      <c r="M16" s="56">
        <v>36139.833048388704</v>
      </c>
      <c r="N16" s="66">
        <v>33836.136280969396</v>
      </c>
      <c r="O16" s="66">
        <v>34281.956512912402</v>
      </c>
      <c r="P16" s="66">
        <v>37802.874153276898</v>
      </c>
      <c r="Q16" s="66">
        <v>30403.7455791875</v>
      </c>
      <c r="R16" s="66">
        <v>25054.007794404301</v>
      </c>
      <c r="S16" s="66">
        <v>29428.728254176498</v>
      </c>
      <c r="T16" s="74">
        <v>29738.188213907397</v>
      </c>
      <c r="U16" s="67">
        <v>30435.268343326101</v>
      </c>
    </row>
    <row r="17" spans="1:21" s="28" customFormat="1" ht="12.75" x14ac:dyDescent="0.2">
      <c r="A17" s="43" t="str">
        <f>VLOOKUP("&lt;Zeilentitel_3&gt;",Uebersetzungen!$B$3:$E$60,Uebersetzungen!$B$2+1,FALSE)</f>
        <v>Waadt</v>
      </c>
      <c r="B17" s="34"/>
      <c r="C17" s="56">
        <v>15192.732044214301</v>
      </c>
      <c r="D17" s="66">
        <v>15355.806891033899</v>
      </c>
      <c r="E17" s="66">
        <v>15452.2892679053</v>
      </c>
      <c r="F17" s="66">
        <v>15233.13921587</v>
      </c>
      <c r="G17" s="74">
        <v>13101.942115219201</v>
      </c>
      <c r="H17" s="74">
        <v>15354.8231689002</v>
      </c>
      <c r="I17" s="74">
        <v>16665.5734055418</v>
      </c>
      <c r="J17" s="74">
        <v>15687.254039523399</v>
      </c>
      <c r="K17" s="67">
        <v>14798.7101176629</v>
      </c>
      <c r="L17" s="52"/>
      <c r="M17" s="56">
        <v>15815.730431112499</v>
      </c>
      <c r="N17" s="66">
        <v>15798.8425092167</v>
      </c>
      <c r="O17" s="66">
        <v>15744.930450897498</v>
      </c>
      <c r="P17" s="66">
        <v>15604.042451248501</v>
      </c>
      <c r="Q17" s="66">
        <v>13339.775480733299</v>
      </c>
      <c r="R17" s="66">
        <v>15675.699521403601</v>
      </c>
      <c r="S17" s="66">
        <v>17147.629228090002</v>
      </c>
      <c r="T17" s="74">
        <v>15996.501620458001</v>
      </c>
      <c r="U17" s="67">
        <v>15083.551803283501</v>
      </c>
    </row>
    <row r="18" spans="1:21" s="28" customFormat="1" ht="12.75" x14ac:dyDescent="0.2">
      <c r="A18" s="43" t="str">
        <f>VLOOKUP("&lt;Zeilentitel_4&gt;",Uebersetzungen!$B$3:$E$60,Uebersetzungen!$B$2+1,FALSE)</f>
        <v>Wallis</v>
      </c>
      <c r="B18" s="34"/>
      <c r="C18" s="56">
        <v>3236.8653985964997</v>
      </c>
      <c r="D18" s="66">
        <v>3313.88371232892</v>
      </c>
      <c r="E18" s="66">
        <v>3365.2864561115998</v>
      </c>
      <c r="F18" s="66">
        <v>3521.34084470676</v>
      </c>
      <c r="G18" s="74">
        <v>3685.17678842244</v>
      </c>
      <c r="H18" s="74">
        <v>4345.07303083433</v>
      </c>
      <c r="I18" s="74">
        <v>5302.1389575776302</v>
      </c>
      <c r="J18" s="74">
        <v>5334.24980213043</v>
      </c>
      <c r="K18" s="67">
        <v>4807.7322063523798</v>
      </c>
      <c r="L18" s="52"/>
      <c r="M18" s="56">
        <v>3326.1472752910599</v>
      </c>
      <c r="N18" s="66">
        <v>3394.0872198095699</v>
      </c>
      <c r="O18" s="66">
        <v>3408.4700328885397</v>
      </c>
      <c r="P18" s="66">
        <v>3582.2791433684602</v>
      </c>
      <c r="Q18" s="66">
        <v>3752.5245606912999</v>
      </c>
      <c r="R18" s="66">
        <v>4461.51908016168</v>
      </c>
      <c r="S18" s="66">
        <v>5390.2328840033197</v>
      </c>
      <c r="T18" s="74">
        <v>5465.5602895122402</v>
      </c>
      <c r="U18" s="67">
        <v>4868.5304646722298</v>
      </c>
    </row>
    <row r="19" spans="1:21" s="28" customFormat="1" ht="12.75" x14ac:dyDescent="0.2">
      <c r="A19" s="42" t="str">
        <f>VLOOKUP("&lt;Zeilentitel_6&gt;",Uebersetzungen!$B$3:$E$60,Uebersetzungen!$B$2+1,FALSE)</f>
        <v>Espace Mittelland</v>
      </c>
      <c r="B19" s="34"/>
      <c r="C19" s="55">
        <v>41570.091291882796</v>
      </c>
      <c r="D19" s="64">
        <v>43610.212147942104</v>
      </c>
      <c r="E19" s="64">
        <v>49072.195005643502</v>
      </c>
      <c r="F19" s="64">
        <v>50395.621630791997</v>
      </c>
      <c r="G19" s="73">
        <v>42702.726656018</v>
      </c>
      <c r="H19" s="73">
        <v>52150.416682464398</v>
      </c>
      <c r="I19" s="73">
        <v>54316.362871114703</v>
      </c>
      <c r="J19" s="73">
        <v>51022.260381070999</v>
      </c>
      <c r="K19" s="65">
        <v>47406.003083703697</v>
      </c>
      <c r="L19" s="51"/>
      <c r="M19" s="55">
        <v>52818.174710701503</v>
      </c>
      <c r="N19" s="64">
        <v>51812.110903373497</v>
      </c>
      <c r="O19" s="64">
        <v>58040.172794516599</v>
      </c>
      <c r="P19" s="64">
        <v>58091.763277097096</v>
      </c>
      <c r="Q19" s="64">
        <v>50420.126530758695</v>
      </c>
      <c r="R19" s="64">
        <v>61356.119437088899</v>
      </c>
      <c r="S19" s="64">
        <v>63831.047184834199</v>
      </c>
      <c r="T19" s="73">
        <v>61824.752610942596</v>
      </c>
      <c r="U19" s="65">
        <v>57458.764402317902</v>
      </c>
    </row>
    <row r="20" spans="1:21" s="28" customFormat="1" ht="12.75" x14ac:dyDescent="0.2">
      <c r="A20" s="43" t="str">
        <f>VLOOKUP("&lt;Zeilentitel_7&gt;",Uebersetzungen!$B$3:$E$60,Uebersetzungen!$B$2+1,FALSE)</f>
        <v>Bern</v>
      </c>
      <c r="B20" s="34"/>
      <c r="C20" s="56">
        <v>13460.376435109099</v>
      </c>
      <c r="D20" s="66">
        <v>14242.327231556601</v>
      </c>
      <c r="E20" s="66">
        <v>16375.1344130711</v>
      </c>
      <c r="F20" s="66">
        <v>16214.611801192699</v>
      </c>
      <c r="G20" s="74">
        <v>14006.937249159599</v>
      </c>
      <c r="H20" s="74">
        <v>17219.238882497801</v>
      </c>
      <c r="I20" s="74">
        <v>21753.885721979401</v>
      </c>
      <c r="J20" s="74">
        <v>20295.499476049998</v>
      </c>
      <c r="K20" s="67">
        <v>19099.335760268903</v>
      </c>
      <c r="L20" s="52"/>
      <c r="M20" s="56">
        <v>13924.741519891701</v>
      </c>
      <c r="N20" s="66">
        <v>14656.6136344352</v>
      </c>
      <c r="O20" s="66">
        <v>16615.6537232357</v>
      </c>
      <c r="P20" s="66">
        <v>16461.014847729799</v>
      </c>
      <c r="Q20" s="66">
        <v>14176.8610647607</v>
      </c>
      <c r="R20" s="66">
        <v>17517.7143779904</v>
      </c>
      <c r="S20" s="66">
        <v>22117.144146594699</v>
      </c>
      <c r="T20" s="74">
        <v>20745.519963337898</v>
      </c>
      <c r="U20" s="67">
        <v>19476.564370575099</v>
      </c>
    </row>
    <row r="21" spans="1:21" s="28" customFormat="1" ht="12.75" x14ac:dyDescent="0.2">
      <c r="A21" s="43" t="str">
        <f>VLOOKUP("&lt;Zeilentitel_8&gt;",Uebersetzungen!$B$3:$E$60,Uebersetzungen!$B$2+1,FALSE)</f>
        <v>Freiburg</v>
      </c>
      <c r="B21" s="34"/>
      <c r="C21" s="56">
        <v>3776.6886135082596</v>
      </c>
      <c r="D21" s="66">
        <v>4103.9255906846902</v>
      </c>
      <c r="E21" s="66">
        <v>4627.9981834130895</v>
      </c>
      <c r="F21" s="66">
        <v>4575.4839995520897</v>
      </c>
      <c r="G21" s="74">
        <v>3930.9899985607899</v>
      </c>
      <c r="H21" s="74">
        <v>4953.1287246951797</v>
      </c>
      <c r="I21" s="74">
        <v>5105.8176083267899</v>
      </c>
      <c r="J21" s="74">
        <v>5354.4314069094899</v>
      </c>
      <c r="K21" s="67">
        <v>5309.88616847504</v>
      </c>
      <c r="L21" s="52"/>
      <c r="M21" s="56">
        <v>3895.8453134698402</v>
      </c>
      <c r="N21" s="66">
        <v>4225.9104191102697</v>
      </c>
      <c r="O21" s="66">
        <v>4736.3492489116197</v>
      </c>
      <c r="P21" s="66">
        <v>4698.0279696553198</v>
      </c>
      <c r="Q21" s="66">
        <v>4012.5918067185303</v>
      </c>
      <c r="R21" s="66">
        <v>5050.5661892017606</v>
      </c>
      <c r="S21" s="66">
        <v>5187.91166731464</v>
      </c>
      <c r="T21" s="74">
        <v>5416.4628453083697</v>
      </c>
      <c r="U21" s="67">
        <v>5377.0670257291295</v>
      </c>
    </row>
    <row r="22" spans="1:21" s="28" customFormat="1" ht="12.75" x14ac:dyDescent="0.2">
      <c r="A22" s="43" t="str">
        <f>VLOOKUP("&lt;Zeilentitel_11&gt;",Uebersetzungen!$B$3:$E$60,Uebersetzungen!$B$2+1,FALSE)</f>
        <v>Jura</v>
      </c>
      <c r="B22" s="34"/>
      <c r="C22" s="56">
        <v>2198.3994567106402</v>
      </c>
      <c r="D22" s="66">
        <v>2476.0980442054602</v>
      </c>
      <c r="E22" s="66">
        <v>2413.11058506276</v>
      </c>
      <c r="F22" s="66">
        <v>2438.9577604648398</v>
      </c>
      <c r="G22" s="74">
        <v>2014.6323576726199</v>
      </c>
      <c r="H22" s="74">
        <v>2604.5503942790497</v>
      </c>
      <c r="I22" s="74">
        <v>3108.3901011723701</v>
      </c>
      <c r="J22" s="74">
        <v>3322.6785171434899</v>
      </c>
      <c r="K22" s="67">
        <v>3175.6948858278297</v>
      </c>
      <c r="L22" s="52"/>
      <c r="M22" s="56">
        <v>2306.8091961886103</v>
      </c>
      <c r="N22" s="66">
        <v>2615.6034980381396</v>
      </c>
      <c r="O22" s="66">
        <v>2545.8469892849002</v>
      </c>
      <c r="P22" s="66">
        <v>2614.9824034816597</v>
      </c>
      <c r="Q22" s="66">
        <v>2240.4894589431201</v>
      </c>
      <c r="R22" s="66">
        <v>3318.9449740489704</v>
      </c>
      <c r="S22" s="66">
        <v>4138.7629230865205</v>
      </c>
      <c r="T22" s="74">
        <v>4499.5536817741695</v>
      </c>
      <c r="U22" s="67">
        <v>4623.3849651375804</v>
      </c>
    </row>
    <row r="23" spans="1:21" s="28" customFormat="1" ht="12.75" x14ac:dyDescent="0.2">
      <c r="A23" s="43" t="str">
        <f>VLOOKUP("&lt;Zeilentitel_10&gt;",Uebersetzungen!$B$3:$E$60,Uebersetzungen!$B$2+1,FALSE)</f>
        <v>Neuenburg</v>
      </c>
      <c r="B23" s="34"/>
      <c r="C23" s="56">
        <v>17727.090509126301</v>
      </c>
      <c r="D23" s="66">
        <v>18181.513057186698</v>
      </c>
      <c r="E23" s="66">
        <v>20676.8513860003</v>
      </c>
      <c r="F23" s="66">
        <v>22159.013937915901</v>
      </c>
      <c r="G23" s="74">
        <v>18504.99211232</v>
      </c>
      <c r="H23" s="74">
        <v>22436.414784902598</v>
      </c>
      <c r="I23" s="74">
        <v>18535.877293950001</v>
      </c>
      <c r="J23" s="74">
        <v>16615.157372371301</v>
      </c>
      <c r="K23" s="67">
        <v>14795.347883135099</v>
      </c>
      <c r="L23" s="52"/>
      <c r="M23" s="56">
        <v>28253.7078541677</v>
      </c>
      <c r="N23" s="66">
        <v>25674.702089971201</v>
      </c>
      <c r="O23" s="66">
        <v>29150.529176641103</v>
      </c>
      <c r="P23" s="66">
        <v>29290.138798869099</v>
      </c>
      <c r="Q23" s="66">
        <v>25725.411992232701</v>
      </c>
      <c r="R23" s="66">
        <v>30483.415956061901</v>
      </c>
      <c r="S23" s="66">
        <v>26502.927141956501</v>
      </c>
      <c r="T23" s="74">
        <v>25669.709484405998</v>
      </c>
      <c r="U23" s="67">
        <v>22941.374754201901</v>
      </c>
    </row>
    <row r="24" spans="1:21" s="28" customFormat="1" ht="12.75" x14ac:dyDescent="0.2">
      <c r="A24" s="43" t="str">
        <f>VLOOKUP("&lt;Zeilentitel_9&gt;",Uebersetzungen!$B$3:$E$60,Uebersetzungen!$B$2+1,FALSE)</f>
        <v>Solothurn</v>
      </c>
      <c r="B24" s="34"/>
      <c r="C24" s="56">
        <v>4407.5362774291698</v>
      </c>
      <c r="D24" s="66">
        <v>4606.34822430449</v>
      </c>
      <c r="E24" s="66">
        <v>4979.1004380977802</v>
      </c>
      <c r="F24" s="66">
        <v>5007.5541316625504</v>
      </c>
      <c r="G24" s="74">
        <v>4245.1749383036395</v>
      </c>
      <c r="H24" s="74">
        <v>4937.0838960927294</v>
      </c>
      <c r="I24" s="74">
        <v>5812.3921456800099</v>
      </c>
      <c r="J24" s="74">
        <v>5434.4936086011694</v>
      </c>
      <c r="K24" s="67">
        <v>5025.7383859942001</v>
      </c>
      <c r="L24" s="52"/>
      <c r="M24" s="56">
        <v>4437.0708269840407</v>
      </c>
      <c r="N24" s="66">
        <v>4639.2812618132602</v>
      </c>
      <c r="O24" s="66">
        <v>4991.7936564465299</v>
      </c>
      <c r="P24" s="66">
        <v>5027.5992573551703</v>
      </c>
      <c r="Q24" s="66">
        <v>4264.7722081035199</v>
      </c>
      <c r="R24" s="66">
        <v>4985.4779397892798</v>
      </c>
      <c r="S24" s="66">
        <v>5884.3013058749802</v>
      </c>
      <c r="T24" s="74">
        <v>5493.5066361202998</v>
      </c>
      <c r="U24" s="67">
        <v>5040.3732866709606</v>
      </c>
    </row>
    <row r="25" spans="1:21" s="28" customFormat="1" ht="12.75" x14ac:dyDescent="0.2">
      <c r="A25" s="42" t="str">
        <f>VLOOKUP("&lt;Zeilentitel_12&gt;",Uebersetzungen!$B$3:$E$60,Uebersetzungen!$B$2+1,FALSE)</f>
        <v>Nordwestschweiz</v>
      </c>
      <c r="B25" s="34"/>
      <c r="C25" s="55">
        <v>71179.818839256506</v>
      </c>
      <c r="D25" s="64">
        <v>75278.374212471201</v>
      </c>
      <c r="E25" s="64">
        <v>77982.937472181307</v>
      </c>
      <c r="F25" s="64">
        <v>85315.393399472392</v>
      </c>
      <c r="G25" s="73">
        <v>87331.581789678501</v>
      </c>
      <c r="H25" s="73">
        <v>98121.901644421101</v>
      </c>
      <c r="I25" s="73">
        <v>104524.19068096699</v>
      </c>
      <c r="J25" s="73">
        <v>107108.02289194</v>
      </c>
      <c r="K25" s="65">
        <v>121540.127743315</v>
      </c>
      <c r="L25" s="51"/>
      <c r="M25" s="55">
        <v>71761.730642546288</v>
      </c>
      <c r="N25" s="64">
        <v>75673.013800444503</v>
      </c>
      <c r="O25" s="64">
        <v>78299.289138165608</v>
      </c>
      <c r="P25" s="64">
        <v>85796.414002469901</v>
      </c>
      <c r="Q25" s="64">
        <v>87690.748539488806</v>
      </c>
      <c r="R25" s="64">
        <v>98673.646103022897</v>
      </c>
      <c r="S25" s="64">
        <v>105211.41389499899</v>
      </c>
      <c r="T25" s="73">
        <v>107711.16918000201</v>
      </c>
      <c r="U25" s="65">
        <v>121988.53667013401</v>
      </c>
    </row>
    <row r="26" spans="1:21" s="28" customFormat="1" ht="12.75" x14ac:dyDescent="0.2">
      <c r="A26" s="43" t="str">
        <f>VLOOKUP("&lt;Zeilentitel_15&gt;",Uebersetzungen!$B$3:$E$60,Uebersetzungen!$B$2+1,FALSE)</f>
        <v>Aargau</v>
      </c>
      <c r="B26" s="34"/>
      <c r="C26" s="56">
        <v>12935.863115793301</v>
      </c>
      <c r="D26" s="66">
        <v>13289.665790963199</v>
      </c>
      <c r="E26" s="66">
        <v>14649.3297819174</v>
      </c>
      <c r="F26" s="66">
        <v>15028.8635244909</v>
      </c>
      <c r="G26" s="74">
        <v>14788.8153763297</v>
      </c>
      <c r="H26" s="74">
        <v>15607.550904763701</v>
      </c>
      <c r="I26" s="74">
        <v>17089.195457524002</v>
      </c>
      <c r="J26" s="74">
        <v>16528.955159822501</v>
      </c>
      <c r="K26" s="67">
        <v>17521.419412873001</v>
      </c>
      <c r="L26" s="53"/>
      <c r="M26" s="56">
        <v>13017.1214613829</v>
      </c>
      <c r="N26" s="66">
        <v>13374.486414663299</v>
      </c>
      <c r="O26" s="66">
        <v>14722.774973023101</v>
      </c>
      <c r="P26" s="66">
        <v>15162.770044950899</v>
      </c>
      <c r="Q26" s="66">
        <v>14908.4161122035</v>
      </c>
      <c r="R26" s="66">
        <v>15803.665379117499</v>
      </c>
      <c r="S26" s="66">
        <v>17322.0289805947</v>
      </c>
      <c r="T26" s="74">
        <v>16726.3860603594</v>
      </c>
      <c r="U26" s="67">
        <v>17640.735925393299</v>
      </c>
    </row>
    <row r="27" spans="1:21" s="28" customFormat="1" ht="12.75" x14ac:dyDescent="0.2">
      <c r="A27" s="43" t="str">
        <f>VLOOKUP("&lt;Zeilentitel_14&gt;",Uebersetzungen!$B$3:$E$60,Uebersetzungen!$B$2+1,FALSE)</f>
        <v>Basel-Landschaft</v>
      </c>
      <c r="B27" s="34"/>
      <c r="C27" s="56">
        <v>5951.6340355367001</v>
      </c>
      <c r="D27" s="66">
        <v>6335.0633957506107</v>
      </c>
      <c r="E27" s="66">
        <v>6728.1468148104805</v>
      </c>
      <c r="F27" s="66">
        <v>6817.3551226978707</v>
      </c>
      <c r="G27" s="74">
        <v>5968.2350110153402</v>
      </c>
      <c r="H27" s="74">
        <v>6012.4937012559003</v>
      </c>
      <c r="I27" s="74">
        <v>6609.5455687447002</v>
      </c>
      <c r="J27" s="74">
        <v>6378.09654083224</v>
      </c>
      <c r="K27" s="67">
        <v>6260.3513907894803</v>
      </c>
      <c r="L27" s="53"/>
      <c r="M27" s="56">
        <v>5990.9974680554105</v>
      </c>
      <c r="N27" s="66">
        <v>6370.8835019933204</v>
      </c>
      <c r="O27" s="66">
        <v>6761.29384341478</v>
      </c>
      <c r="P27" s="66">
        <v>6872.3876017635603</v>
      </c>
      <c r="Q27" s="66">
        <v>5990.5123813291702</v>
      </c>
      <c r="R27" s="66">
        <v>6053.0054956456897</v>
      </c>
      <c r="S27" s="66">
        <v>6663.6630500715701</v>
      </c>
      <c r="T27" s="74">
        <v>6407.8482008515193</v>
      </c>
      <c r="U27" s="67">
        <v>6304.2019807338402</v>
      </c>
    </row>
    <row r="28" spans="1:21" s="28" customFormat="1" ht="12.75" x14ac:dyDescent="0.2">
      <c r="A28" s="43" t="str">
        <f>VLOOKUP("&lt;Zeilentitel_13&gt;",Uebersetzungen!$B$3:$E$60,Uebersetzungen!$B$2+1,FALSE)</f>
        <v>Basel-Stadt</v>
      </c>
      <c r="B28" s="34"/>
      <c r="C28" s="56">
        <v>52292.321687925301</v>
      </c>
      <c r="D28" s="66">
        <v>55653.645025760001</v>
      </c>
      <c r="E28" s="66">
        <v>56605.460875456396</v>
      </c>
      <c r="F28" s="66">
        <v>63469.174752283601</v>
      </c>
      <c r="G28" s="74">
        <v>66574.531402342007</v>
      </c>
      <c r="H28" s="74">
        <v>76501.857038401897</v>
      </c>
      <c r="I28" s="74">
        <v>80825.449654681201</v>
      </c>
      <c r="J28" s="74">
        <v>84200.971191284101</v>
      </c>
      <c r="K28" s="67">
        <v>97758.3569396495</v>
      </c>
      <c r="L28" s="53"/>
      <c r="M28" s="56">
        <v>52753.611713107101</v>
      </c>
      <c r="N28" s="66">
        <v>55927.643883791199</v>
      </c>
      <c r="O28" s="66">
        <v>56815.220321730601</v>
      </c>
      <c r="P28" s="66">
        <v>63761.256355756501</v>
      </c>
      <c r="Q28" s="66">
        <v>66791.820045965404</v>
      </c>
      <c r="R28" s="66">
        <v>76816.975228257797</v>
      </c>
      <c r="S28" s="66">
        <v>81225.7218643167</v>
      </c>
      <c r="T28" s="74">
        <v>84576.934918790997</v>
      </c>
      <c r="U28" s="67">
        <v>98043.598764006107</v>
      </c>
    </row>
    <row r="29" spans="1:21" s="28" customFormat="1" ht="12.75" x14ac:dyDescent="0.2">
      <c r="A29" s="42" t="str">
        <f>VLOOKUP("&lt;Zeilentitel_16&gt;",Uebersetzungen!$B$3:$E$60,Uebersetzungen!$B$2+1,FALSE)</f>
        <v>Zürich</v>
      </c>
      <c r="B29" s="34"/>
      <c r="C29" s="55">
        <v>13491.2743759511</v>
      </c>
      <c r="D29" s="64">
        <v>14278.4474613657</v>
      </c>
      <c r="E29" s="64">
        <v>14540.4619914214</v>
      </c>
      <c r="F29" s="64">
        <v>14655.894027568002</v>
      </c>
      <c r="G29" s="73">
        <v>12800.579992090001</v>
      </c>
      <c r="H29" s="73">
        <v>14499.924117156901</v>
      </c>
      <c r="I29" s="73">
        <v>16374.467092135299</v>
      </c>
      <c r="J29" s="73">
        <v>15794.013571662799</v>
      </c>
      <c r="K29" s="65">
        <v>15876.6186215819</v>
      </c>
      <c r="L29" s="51"/>
      <c r="M29" s="55">
        <v>24309.826633079399</v>
      </c>
      <c r="N29" s="64">
        <v>22846.638404240301</v>
      </c>
      <c r="O29" s="64">
        <v>22113.490752693</v>
      </c>
      <c r="P29" s="64">
        <v>27710.0161911635</v>
      </c>
      <c r="Q29" s="64">
        <v>22227.168361140302</v>
      </c>
      <c r="R29" s="64">
        <v>25632.7803607555</v>
      </c>
      <c r="S29" s="64">
        <v>30799.608211072602</v>
      </c>
      <c r="T29" s="73">
        <v>27006.3326712405</v>
      </c>
      <c r="U29" s="65">
        <v>29361.9647245507</v>
      </c>
    </row>
    <row r="30" spans="1:21" s="28" customFormat="1" ht="12.75" x14ac:dyDescent="0.2">
      <c r="A30" s="43" t="str">
        <f>VLOOKUP("&lt;Zeilentitel_16&gt;",Uebersetzungen!$B$3:$E$60,Uebersetzungen!$B$2+1,FALSE)</f>
        <v>Zürich</v>
      </c>
      <c r="B30" s="34"/>
      <c r="C30" s="56">
        <v>13491.2743759511</v>
      </c>
      <c r="D30" s="66">
        <v>14278.4474613658</v>
      </c>
      <c r="E30" s="66">
        <v>14540.4619914218</v>
      </c>
      <c r="F30" s="66">
        <v>14655.8940275679</v>
      </c>
      <c r="G30" s="74">
        <v>12800.579992089399</v>
      </c>
      <c r="H30" s="74">
        <v>14499.924117156999</v>
      </c>
      <c r="I30" s="74">
        <v>16374.467092135401</v>
      </c>
      <c r="J30" s="74">
        <v>15794.013571662501</v>
      </c>
      <c r="K30" s="67">
        <v>15876.6186215822</v>
      </c>
      <c r="L30" s="51"/>
      <c r="M30" s="56">
        <v>24309.826633079301</v>
      </c>
      <c r="N30" s="66">
        <v>22846.638404241199</v>
      </c>
      <c r="O30" s="66">
        <v>22113.490752693098</v>
      </c>
      <c r="P30" s="66">
        <v>27710.0161911635</v>
      </c>
      <c r="Q30" s="66">
        <v>22227.168361140597</v>
      </c>
      <c r="R30" s="66">
        <v>25632.7803607555</v>
      </c>
      <c r="S30" s="66">
        <v>30799.6082110727</v>
      </c>
      <c r="T30" s="74">
        <v>27006.332671241402</v>
      </c>
      <c r="U30" s="67">
        <v>29361.964724549802</v>
      </c>
    </row>
    <row r="31" spans="1:21" s="28" customFormat="1" ht="12.75" x14ac:dyDescent="0.2">
      <c r="A31" s="42" t="str">
        <f>VLOOKUP("&lt;Zeilentitel_17&gt;",Uebersetzungen!$B$3:$E$60,Uebersetzungen!$B$2+1,FALSE)</f>
        <v>Ostschweiz</v>
      </c>
      <c r="B31" s="34"/>
      <c r="C31" s="55">
        <v>19389.158735424702</v>
      </c>
      <c r="D31" s="64">
        <v>21239.155139583901</v>
      </c>
      <c r="E31" s="64">
        <v>22011.160036356603</v>
      </c>
      <c r="F31" s="64">
        <v>22197.843310753102</v>
      </c>
      <c r="G31" s="73">
        <v>20994.719869025601</v>
      </c>
      <c r="H31" s="73">
        <v>23135.960205186402</v>
      </c>
      <c r="I31" s="73">
        <v>24366.225669033502</v>
      </c>
      <c r="J31" s="73">
        <v>23656.345645307203</v>
      </c>
      <c r="K31" s="65">
        <v>22890.444674348801</v>
      </c>
      <c r="L31" s="51"/>
      <c r="M31" s="55">
        <v>19930.023119774101</v>
      </c>
      <c r="N31" s="64">
        <v>21739.599818794799</v>
      </c>
      <c r="O31" s="64">
        <v>22343.949427461299</v>
      </c>
      <c r="P31" s="64">
        <v>22569.4750163032</v>
      </c>
      <c r="Q31" s="64">
        <v>21314.321420137698</v>
      </c>
      <c r="R31" s="64">
        <v>23570.592756160098</v>
      </c>
      <c r="S31" s="64">
        <v>24953.698458897899</v>
      </c>
      <c r="T31" s="73">
        <v>23990.504091550301</v>
      </c>
      <c r="U31" s="65">
        <v>23211.700636159698</v>
      </c>
    </row>
    <row r="32" spans="1:21" s="28" customFormat="1" ht="12.75" x14ac:dyDescent="0.2">
      <c r="A32" s="43" t="str">
        <f>VLOOKUP("&lt;Zeilentitel_21&gt;",Uebersetzungen!$B$3:$E$60,Uebersetzungen!$B$2+1,FALSE)</f>
        <v>Appenzell Innerrhoden</v>
      </c>
      <c r="B32" s="34"/>
      <c r="C32" s="56">
        <v>119.86053566008199</v>
      </c>
      <c r="D32" s="66">
        <v>114.35791432028701</v>
      </c>
      <c r="E32" s="66">
        <v>134.03738288700899</v>
      </c>
      <c r="F32" s="66">
        <v>122.696149329701</v>
      </c>
      <c r="G32" s="74">
        <v>106.196518122206</v>
      </c>
      <c r="H32" s="74">
        <v>130.50770305174399</v>
      </c>
      <c r="I32" s="74">
        <v>136.02696764690501</v>
      </c>
      <c r="J32" s="74">
        <v>149.38865494613</v>
      </c>
      <c r="K32" s="67">
        <v>150.65462341701601</v>
      </c>
      <c r="L32" s="54"/>
      <c r="M32" s="56">
        <v>119.863422297599</v>
      </c>
      <c r="N32" s="66">
        <v>114.38099341452799</v>
      </c>
      <c r="O32" s="66">
        <v>134.06497687926299</v>
      </c>
      <c r="P32" s="66">
        <v>122.87507053597399</v>
      </c>
      <c r="Q32" s="66">
        <v>106.348420596314</v>
      </c>
      <c r="R32" s="66">
        <v>131.691563903565</v>
      </c>
      <c r="S32" s="66">
        <v>136.33692076524201</v>
      </c>
      <c r="T32" s="74">
        <v>150.97542295317101</v>
      </c>
      <c r="U32" s="67">
        <v>152.20570246360299</v>
      </c>
    </row>
    <row r="33" spans="1:21" s="28" customFormat="1" ht="12.75" x14ac:dyDescent="0.2">
      <c r="A33" s="43" t="str">
        <f>VLOOKUP("&lt;Zeilentitel_20&gt;",Uebersetzungen!$B$3:$E$60,Uebersetzungen!$B$2+1,FALSE)</f>
        <v>Appenzell Ausserrhoden</v>
      </c>
      <c r="B33" s="34"/>
      <c r="C33" s="56">
        <v>905.67402850640997</v>
      </c>
      <c r="D33" s="66">
        <v>876.33359938995397</v>
      </c>
      <c r="E33" s="66">
        <v>940.71841217751899</v>
      </c>
      <c r="F33" s="66">
        <v>858.56786128530007</v>
      </c>
      <c r="G33" s="74">
        <v>742.49416148517798</v>
      </c>
      <c r="H33" s="74">
        <v>854.05808683782993</v>
      </c>
      <c r="I33" s="74">
        <v>897.22644042703496</v>
      </c>
      <c r="J33" s="74">
        <v>872.96701617147301</v>
      </c>
      <c r="K33" s="67">
        <v>823.52526288239005</v>
      </c>
      <c r="L33" s="53"/>
      <c r="M33" s="56">
        <v>980.00316527970597</v>
      </c>
      <c r="N33" s="66">
        <v>921.35559265375196</v>
      </c>
      <c r="O33" s="66">
        <v>965.17717359251299</v>
      </c>
      <c r="P33" s="66">
        <v>870.45741990296995</v>
      </c>
      <c r="Q33" s="66">
        <v>762.03000853029596</v>
      </c>
      <c r="R33" s="66">
        <v>880.76234640124301</v>
      </c>
      <c r="S33" s="66">
        <v>919.03684993154297</v>
      </c>
      <c r="T33" s="74">
        <v>888.04547327277601</v>
      </c>
      <c r="U33" s="67">
        <v>876.85359753845592</v>
      </c>
    </row>
    <row r="34" spans="1:21" s="28" customFormat="1" ht="12.75" x14ac:dyDescent="0.2">
      <c r="A34" s="43" t="str">
        <f>VLOOKUP("&lt;Zeilentitel_18&gt;",Uebersetzungen!$B$3:$E$60,Uebersetzungen!$B$2+1,FALSE)</f>
        <v>Glarus</v>
      </c>
      <c r="B34" s="34"/>
      <c r="C34" s="56">
        <v>636.0913125709111</v>
      </c>
      <c r="D34" s="66">
        <v>619.013507805328</v>
      </c>
      <c r="E34" s="66">
        <v>670.78394293688996</v>
      </c>
      <c r="F34" s="66">
        <v>623.239525036538</v>
      </c>
      <c r="G34" s="74">
        <v>527.50458754511101</v>
      </c>
      <c r="H34" s="74">
        <v>539.423416769141</v>
      </c>
      <c r="I34" s="74">
        <v>616.06790109356496</v>
      </c>
      <c r="J34" s="74">
        <v>650.80920148140206</v>
      </c>
      <c r="K34" s="67">
        <v>623.63121669367399</v>
      </c>
      <c r="L34" s="53"/>
      <c r="M34" s="56">
        <v>640.03028655195294</v>
      </c>
      <c r="N34" s="66">
        <v>621.24848121315301</v>
      </c>
      <c r="O34" s="66">
        <v>673.49636855838708</v>
      </c>
      <c r="P34" s="66">
        <v>631.02990625576899</v>
      </c>
      <c r="Q34" s="66">
        <v>527.54003509924303</v>
      </c>
      <c r="R34" s="66">
        <v>539.45559261011192</v>
      </c>
      <c r="S34" s="66">
        <v>623.45334974697698</v>
      </c>
      <c r="T34" s="74">
        <v>656.71141474709907</v>
      </c>
      <c r="U34" s="67">
        <v>626.74176594316998</v>
      </c>
    </row>
    <row r="35" spans="1:21" s="28" customFormat="1" ht="12.75" x14ac:dyDescent="0.2">
      <c r="A35" s="47" t="str">
        <f>VLOOKUP("&lt;Zeilentitel_23&gt;",Uebersetzungen!$B$3:$E$60,Uebersetzungen!$B$2+1,FALSE)</f>
        <v>Graubünden</v>
      </c>
      <c r="B35" s="34"/>
      <c r="C35" s="57">
        <v>2299.5217417403896</v>
      </c>
      <c r="D35" s="68">
        <v>2517.43137967137</v>
      </c>
      <c r="E35" s="68">
        <v>2864.28590793589</v>
      </c>
      <c r="F35" s="68">
        <v>2503.2257691611198</v>
      </c>
      <c r="G35" s="75">
        <v>2538.6365019551099</v>
      </c>
      <c r="H35" s="75">
        <v>2969.0989642100503</v>
      </c>
      <c r="I35" s="75">
        <v>2874.1456435769101</v>
      </c>
      <c r="J35" s="75">
        <v>2592.40061258591</v>
      </c>
      <c r="K35" s="69">
        <v>2472.3353608300199</v>
      </c>
      <c r="L35" s="53"/>
      <c r="M35" s="57">
        <v>2424.6089795160801</v>
      </c>
      <c r="N35" s="68">
        <v>2645.8605779314698</v>
      </c>
      <c r="O35" s="68">
        <v>2951.1869673941796</v>
      </c>
      <c r="P35" s="68">
        <v>2592.1037978215099</v>
      </c>
      <c r="Q35" s="68">
        <v>2615.6469806922</v>
      </c>
      <c r="R35" s="68">
        <v>3067.09757944592</v>
      </c>
      <c r="S35" s="68">
        <v>3061.0399399340299</v>
      </c>
      <c r="T35" s="75">
        <v>2703.2475398659503</v>
      </c>
      <c r="U35" s="69">
        <v>2546.8407150023399</v>
      </c>
    </row>
    <row r="36" spans="1:21" s="28" customFormat="1" ht="12.75" x14ac:dyDescent="0.2">
      <c r="A36" s="43" t="str">
        <f>VLOOKUP("&lt;Zeilentitel_22&gt;",Uebersetzungen!$B$3:$E$60,Uebersetzungen!$B$2+1,FALSE)</f>
        <v>St. Gallen</v>
      </c>
      <c r="B36" s="34"/>
      <c r="C36" s="56">
        <v>9475.2500225167496</v>
      </c>
      <c r="D36" s="66">
        <v>10262.2895286817</v>
      </c>
      <c r="E36" s="66">
        <v>10449.4754391222</v>
      </c>
      <c r="F36" s="66">
        <v>10340.5932318905</v>
      </c>
      <c r="G36" s="74">
        <v>9993.11458121143</v>
      </c>
      <c r="H36" s="74">
        <v>11031.5860196884</v>
      </c>
      <c r="I36" s="74">
        <v>11683.212517365801</v>
      </c>
      <c r="J36" s="74">
        <v>11244.957376869401</v>
      </c>
      <c r="K36" s="67">
        <v>11224.688304798901</v>
      </c>
      <c r="L36" s="53"/>
      <c r="M36" s="56">
        <v>9655.0274646730704</v>
      </c>
      <c r="N36" s="66">
        <v>10423.9049970497</v>
      </c>
      <c r="O36" s="66">
        <v>10530.5558520832</v>
      </c>
      <c r="P36" s="66">
        <v>10448.482738909599</v>
      </c>
      <c r="Q36" s="66">
        <v>10119.5995839116</v>
      </c>
      <c r="R36" s="66">
        <v>11233.627590682501</v>
      </c>
      <c r="S36" s="66">
        <v>11944.8081981287</v>
      </c>
      <c r="T36" s="74">
        <v>11377.111771764601</v>
      </c>
      <c r="U36" s="67">
        <v>11327.1789076481</v>
      </c>
    </row>
    <row r="37" spans="1:21" s="28" customFormat="1" ht="12.75" x14ac:dyDescent="0.2">
      <c r="A37" s="43" t="str">
        <f>VLOOKUP("&lt;Zeilentitel_19&gt;",Uebersetzungen!$B$3:$E$60,Uebersetzungen!$B$2+1,FALSE)</f>
        <v>Schaffhausen</v>
      </c>
      <c r="B37" s="34"/>
      <c r="C37" s="56">
        <v>2438.1189838209903</v>
      </c>
      <c r="D37" s="66">
        <v>3173.98808312346</v>
      </c>
      <c r="E37" s="66">
        <v>3236.4475197946699</v>
      </c>
      <c r="F37" s="66">
        <v>3520.0900969858299</v>
      </c>
      <c r="G37" s="74">
        <v>3172.7315048478399</v>
      </c>
      <c r="H37" s="74">
        <v>3505.07257360533</v>
      </c>
      <c r="I37" s="74">
        <v>3703.1035590083097</v>
      </c>
      <c r="J37" s="74">
        <v>4042.6860464144002</v>
      </c>
      <c r="K37" s="67">
        <v>3765.1066193213201</v>
      </c>
      <c r="L37" s="53"/>
      <c r="M37" s="56">
        <v>2554.2827847272301</v>
      </c>
      <c r="N37" s="66">
        <v>3300.6346061684899</v>
      </c>
      <c r="O37" s="66">
        <v>3354.90594971172</v>
      </c>
      <c r="P37" s="66">
        <v>3643.36399029108</v>
      </c>
      <c r="Q37" s="66">
        <v>3250.2670843734199</v>
      </c>
      <c r="R37" s="66">
        <v>3580.5944223842903</v>
      </c>
      <c r="S37" s="66">
        <v>3765.5007997053899</v>
      </c>
      <c r="T37" s="74">
        <v>4077.2081348049696</v>
      </c>
      <c r="U37" s="67">
        <v>3828.6015782417403</v>
      </c>
    </row>
    <row r="38" spans="1:21" s="28" customFormat="1" ht="12.75" x14ac:dyDescent="0.2">
      <c r="A38" s="43" t="str">
        <f>VLOOKUP("&lt;Zeilentitel_24&gt;",Uebersetzungen!$B$3:$E$60,Uebersetzungen!$B$2+1,FALSE)</f>
        <v>Thurgau</v>
      </c>
      <c r="B38" s="34"/>
      <c r="C38" s="56">
        <v>3514.64211060867</v>
      </c>
      <c r="D38" s="66">
        <v>3675.7411265912501</v>
      </c>
      <c r="E38" s="66">
        <v>3715.4114315005004</v>
      </c>
      <c r="F38" s="66">
        <v>4229.4306770660705</v>
      </c>
      <c r="G38" s="74">
        <v>3914.0420138579602</v>
      </c>
      <c r="H38" s="74">
        <v>4106.2134410230601</v>
      </c>
      <c r="I38" s="74">
        <v>4456.4426399161102</v>
      </c>
      <c r="J38" s="74">
        <v>4103.1367368372694</v>
      </c>
      <c r="K38" s="67">
        <v>3830.50328640421</v>
      </c>
      <c r="L38" s="53"/>
      <c r="M38" s="56">
        <v>3556.2070167281599</v>
      </c>
      <c r="N38" s="66">
        <v>3712.21457036225</v>
      </c>
      <c r="O38" s="66">
        <v>3734.56213924041</v>
      </c>
      <c r="P38" s="66">
        <v>4261.16209258857</v>
      </c>
      <c r="Q38" s="66">
        <v>3932.8893069332598</v>
      </c>
      <c r="R38" s="66">
        <v>4137.3636607319495</v>
      </c>
      <c r="S38" s="66">
        <v>4503.5224006865192</v>
      </c>
      <c r="T38" s="74">
        <v>4137.2043341406898</v>
      </c>
      <c r="U38" s="67">
        <v>3853.2783693209799</v>
      </c>
    </row>
    <row r="39" spans="1:21" s="28" customFormat="1" ht="12.75" x14ac:dyDescent="0.2">
      <c r="A39" s="42" t="str">
        <f>VLOOKUP("&lt;Zeilentitel_25&gt;",Uebersetzungen!$B$3:$E$60,Uebersetzungen!$B$2+1,FALSE)</f>
        <v>Zentralschweiz</v>
      </c>
      <c r="B39" s="34"/>
      <c r="C39" s="55">
        <v>18564.545597229499</v>
      </c>
      <c r="D39" s="64">
        <v>19206.847540513401</v>
      </c>
      <c r="E39" s="64">
        <v>20353.850810833999</v>
      </c>
      <c r="F39" s="64">
        <v>20703.8367174347</v>
      </c>
      <c r="G39" s="73">
        <v>19403.679520879003</v>
      </c>
      <c r="H39" s="73">
        <v>21858.591133203601</v>
      </c>
      <c r="I39" s="73">
        <v>23216.955389085801</v>
      </c>
      <c r="J39" s="73">
        <v>21742.588172999102</v>
      </c>
      <c r="K39" s="65">
        <v>20729.592129146098</v>
      </c>
      <c r="L39" s="51"/>
      <c r="M39" s="55">
        <v>19558.051492351602</v>
      </c>
      <c r="N39" s="64">
        <v>20388.789946086497</v>
      </c>
      <c r="O39" s="64">
        <v>21449.005650686297</v>
      </c>
      <c r="P39" s="64">
        <v>21857.417212385601</v>
      </c>
      <c r="Q39" s="64">
        <v>19908.967209390703</v>
      </c>
      <c r="R39" s="64">
        <v>22211.624511317001</v>
      </c>
      <c r="S39" s="64">
        <v>24099.2143481444</v>
      </c>
      <c r="T39" s="73">
        <v>22544.579616131901</v>
      </c>
      <c r="U39" s="65">
        <v>21867.297571307598</v>
      </c>
    </row>
    <row r="40" spans="1:21" s="28" customFormat="1" ht="12.75" x14ac:dyDescent="0.2">
      <c r="A40" s="43" t="str">
        <f>VLOOKUP("&lt;Zeilentitel_26&gt;",Uebersetzungen!$B$3:$E$60,Uebersetzungen!$B$2+1,FALSE)</f>
        <v>Luzern</v>
      </c>
      <c r="B40" s="34"/>
      <c r="C40" s="56">
        <v>4178.7833788379894</v>
      </c>
      <c r="D40" s="66">
        <v>4431.79140890084</v>
      </c>
      <c r="E40" s="66">
        <v>4678.1485113682502</v>
      </c>
      <c r="F40" s="66">
        <v>4595.9615385593997</v>
      </c>
      <c r="G40" s="74">
        <v>3803.7077373529401</v>
      </c>
      <c r="H40" s="74">
        <v>4758.6498599564302</v>
      </c>
      <c r="I40" s="74">
        <v>5236.8635263952601</v>
      </c>
      <c r="J40" s="74">
        <v>4716.3239363183602</v>
      </c>
      <c r="K40" s="67">
        <v>4750.7115168034898</v>
      </c>
      <c r="L40" s="53"/>
      <c r="M40" s="56">
        <v>4872.1498456130003</v>
      </c>
      <c r="N40" s="66">
        <v>5243.1406453415402</v>
      </c>
      <c r="O40" s="66">
        <v>5520.2023610025499</v>
      </c>
      <c r="P40" s="66">
        <v>5359.63820913375</v>
      </c>
      <c r="Q40" s="66">
        <v>4102.9307755690197</v>
      </c>
      <c r="R40" s="66">
        <v>4894.6928255559305</v>
      </c>
      <c r="S40" s="66">
        <v>5812.6489818116797</v>
      </c>
      <c r="T40" s="74">
        <v>5168.7906914621999</v>
      </c>
      <c r="U40" s="67">
        <v>5552.7445114397406</v>
      </c>
    </row>
    <row r="41" spans="1:21" s="28" customFormat="1" ht="12.75" x14ac:dyDescent="0.2">
      <c r="A41" s="43" t="str">
        <f>VLOOKUP("&lt;Zeilentitel_30&gt;",Uebersetzungen!$B$3:$E$60,Uebersetzungen!$B$2+1,FALSE)</f>
        <v>Nidwalden</v>
      </c>
      <c r="B41" s="34"/>
      <c r="C41" s="56">
        <v>924.51353201088</v>
      </c>
      <c r="D41" s="66">
        <v>879.619161092225</v>
      </c>
      <c r="E41" s="66">
        <v>1204.24505587011</v>
      </c>
      <c r="F41" s="66">
        <v>1276.4524586810401</v>
      </c>
      <c r="G41" s="74">
        <v>848.59608227082902</v>
      </c>
      <c r="H41" s="74">
        <v>1258.40925041027</v>
      </c>
      <c r="I41" s="74">
        <v>1242.63805779269</v>
      </c>
      <c r="J41" s="74">
        <v>1346.2771509823501</v>
      </c>
      <c r="K41" s="67">
        <v>1275.3850946442001</v>
      </c>
      <c r="L41" s="53"/>
      <c r="M41" s="56">
        <v>994.83020926231598</v>
      </c>
      <c r="N41" s="66">
        <v>998.93348824973998</v>
      </c>
      <c r="O41" s="66">
        <v>1225.8171339161302</v>
      </c>
      <c r="P41" s="66">
        <v>1293.2108706595</v>
      </c>
      <c r="Q41" s="66">
        <v>856.6178172441879</v>
      </c>
      <c r="R41" s="66">
        <v>1262.3219364651402</v>
      </c>
      <c r="S41" s="66">
        <v>1271.8249546443801</v>
      </c>
      <c r="T41" s="74">
        <v>1388.0234237953</v>
      </c>
      <c r="U41" s="67">
        <v>1288.7069420218402</v>
      </c>
    </row>
    <row r="42" spans="1:21" s="28" customFormat="1" ht="12.75" x14ac:dyDescent="0.2">
      <c r="A42" s="43" t="str">
        <f>VLOOKUP("&lt;Zeilentitel_29&gt;",Uebersetzungen!$B$3:$E$60,Uebersetzungen!$B$2+1,FALSE)</f>
        <v>Obwalden</v>
      </c>
      <c r="B42" s="34"/>
      <c r="C42" s="56">
        <v>873.44196464963693</v>
      </c>
      <c r="D42" s="66">
        <v>914.97994021366799</v>
      </c>
      <c r="E42" s="66">
        <v>994.03483950382201</v>
      </c>
      <c r="F42" s="66">
        <v>984.69821560677099</v>
      </c>
      <c r="G42" s="74">
        <v>931.09407665662593</v>
      </c>
      <c r="H42" s="74">
        <v>1076.4152420180699</v>
      </c>
      <c r="I42" s="74">
        <v>1133.1769148426899</v>
      </c>
      <c r="J42" s="74">
        <v>986.01096208353806</v>
      </c>
      <c r="K42" s="67">
        <v>905.696707404932</v>
      </c>
      <c r="L42" s="53"/>
      <c r="M42" s="56">
        <v>889.98030291023099</v>
      </c>
      <c r="N42" s="66">
        <v>927.40901561871192</v>
      </c>
      <c r="O42" s="66">
        <v>1011.4413534593</v>
      </c>
      <c r="P42" s="66">
        <v>989.97500738759993</v>
      </c>
      <c r="Q42" s="66">
        <v>932.98271095219502</v>
      </c>
      <c r="R42" s="66">
        <v>1081.23838224109</v>
      </c>
      <c r="S42" s="66">
        <v>1135.1386615507399</v>
      </c>
      <c r="T42" s="74">
        <v>996.52002858780804</v>
      </c>
      <c r="U42" s="67">
        <v>913.04695324884995</v>
      </c>
    </row>
    <row r="43" spans="1:21" s="28" customFormat="1" ht="12.75" x14ac:dyDescent="0.2">
      <c r="A43" s="43" t="str">
        <f>VLOOKUP("&lt;Zeilentitel_28&gt;",Uebersetzungen!$B$3:$E$60,Uebersetzungen!$B$2+1,FALSE)</f>
        <v>Schwyz</v>
      </c>
      <c r="B43" s="34"/>
      <c r="C43" s="56">
        <v>1465.4207779554501</v>
      </c>
      <c r="D43" s="66">
        <v>1820.0697980105901</v>
      </c>
      <c r="E43" s="66">
        <v>1922.91331947916</v>
      </c>
      <c r="F43" s="66">
        <v>1837.31157019377</v>
      </c>
      <c r="G43" s="74">
        <v>1892.5842143017001</v>
      </c>
      <c r="H43" s="74">
        <v>1922.7541414293598</v>
      </c>
      <c r="I43" s="74">
        <v>2011.25196666172</v>
      </c>
      <c r="J43" s="74">
        <v>1669.2452657393101</v>
      </c>
      <c r="K43" s="67">
        <v>1716.1698763096099</v>
      </c>
      <c r="L43" s="53"/>
      <c r="M43" s="56">
        <v>1486.83927550473</v>
      </c>
      <c r="N43" s="66">
        <v>1840.28008079304</v>
      </c>
      <c r="O43" s="66">
        <v>1938.60640222593</v>
      </c>
      <c r="P43" s="66">
        <v>1864.3424644340898</v>
      </c>
      <c r="Q43" s="66">
        <v>1912.47832922006</v>
      </c>
      <c r="R43" s="66">
        <v>1961.7169677361301</v>
      </c>
      <c r="S43" s="66">
        <v>2049.6180016329299</v>
      </c>
      <c r="T43" s="74">
        <v>1701.0355797618402</v>
      </c>
      <c r="U43" s="67">
        <v>1768.3547926568699</v>
      </c>
    </row>
    <row r="44" spans="1:21" s="28" customFormat="1" ht="12.75" x14ac:dyDescent="0.2">
      <c r="A44" s="43" t="str">
        <f>VLOOKUP("&lt;Zeilentitel_27&gt;",Uebersetzungen!$B$3:$E$60,Uebersetzungen!$B$2+1,FALSE)</f>
        <v>Uri</v>
      </c>
      <c r="B44" s="34"/>
      <c r="C44" s="56">
        <v>473.013275779129</v>
      </c>
      <c r="D44" s="66">
        <v>510.24804818473297</v>
      </c>
      <c r="E44" s="66">
        <v>564.80096636779399</v>
      </c>
      <c r="F44" s="66">
        <v>541.64600527630398</v>
      </c>
      <c r="G44" s="74">
        <v>521.60349831369001</v>
      </c>
      <c r="H44" s="74">
        <v>560.28803662813903</v>
      </c>
      <c r="I44" s="74">
        <v>550.850467813975</v>
      </c>
      <c r="J44" s="74">
        <v>536.525536765781</v>
      </c>
      <c r="K44" s="67">
        <v>487.10133812039203</v>
      </c>
      <c r="L44" s="53"/>
      <c r="M44" s="56">
        <v>477.638491464563</v>
      </c>
      <c r="N44" s="66">
        <v>516.71628459562203</v>
      </c>
      <c r="O44" s="66">
        <v>566.26839855783498</v>
      </c>
      <c r="P44" s="66">
        <v>546.764418464095</v>
      </c>
      <c r="Q44" s="66">
        <v>525.91366992471205</v>
      </c>
      <c r="R44" s="66">
        <v>560.70246731009991</v>
      </c>
      <c r="S44" s="66">
        <v>558.85891452737906</v>
      </c>
      <c r="T44" s="74">
        <v>537.01672783390791</v>
      </c>
      <c r="U44" s="67">
        <v>488.91560883371903</v>
      </c>
    </row>
    <row r="45" spans="1:21" s="28" customFormat="1" ht="12.75" x14ac:dyDescent="0.2">
      <c r="A45" s="43" t="str">
        <f>VLOOKUP("&lt;Zeilentitel_31&gt;",Uebersetzungen!$B$3:$E$60,Uebersetzungen!$B$2+1,FALSE)</f>
        <v>Zug</v>
      </c>
      <c r="B45" s="34"/>
      <c r="C45" s="56">
        <v>10649.3726679963</v>
      </c>
      <c r="D45" s="66">
        <v>10650.1391841114</v>
      </c>
      <c r="E45" s="66">
        <v>10989.7081182451</v>
      </c>
      <c r="F45" s="66">
        <v>11467.766929117</v>
      </c>
      <c r="G45" s="74">
        <v>11406.0939119832</v>
      </c>
      <c r="H45" s="74">
        <v>12282.0746027608</v>
      </c>
      <c r="I45" s="74">
        <v>13042.174455579901</v>
      </c>
      <c r="J45" s="74">
        <v>12488.205321109601</v>
      </c>
      <c r="K45" s="67">
        <v>11594.5275958612</v>
      </c>
      <c r="L45" s="53"/>
      <c r="M45" s="56">
        <v>10836.613367596399</v>
      </c>
      <c r="N45" s="66">
        <v>10862.3104314881</v>
      </c>
      <c r="O45" s="66">
        <v>11186.670001525101</v>
      </c>
      <c r="P45" s="66">
        <v>11803.4862423058</v>
      </c>
      <c r="Q45" s="66">
        <v>11578.043906480802</v>
      </c>
      <c r="R45" s="66">
        <v>12450.9519320089</v>
      </c>
      <c r="S45" s="66">
        <v>13271.124833977699</v>
      </c>
      <c r="T45" s="74">
        <v>12753.193164690902</v>
      </c>
      <c r="U45" s="67">
        <v>11855.528763104699</v>
      </c>
    </row>
    <row r="46" spans="1:21" s="28" customFormat="1" ht="12.75" x14ac:dyDescent="0.2">
      <c r="A46" s="42" t="str">
        <f>VLOOKUP("&lt;Zeilentitel_32&gt;",Uebersetzungen!$B$3:$E$60,Uebersetzungen!$B$2+1,FALSE)</f>
        <v>Tessin</v>
      </c>
      <c r="B46" s="34"/>
      <c r="C46" s="55">
        <v>6474.5386551872098</v>
      </c>
      <c r="D46" s="64">
        <v>6111.6841776137508</v>
      </c>
      <c r="E46" s="64">
        <v>6683.0117462501203</v>
      </c>
      <c r="F46" s="64">
        <v>6063.1985975859807</v>
      </c>
      <c r="G46" s="73">
        <v>5651.6039376595199</v>
      </c>
      <c r="H46" s="73">
        <v>5879.4594099980695</v>
      </c>
      <c r="I46" s="73">
        <v>6467.1053520785999</v>
      </c>
      <c r="J46" s="73">
        <v>6299.6749391519897</v>
      </c>
      <c r="K46" s="65">
        <v>6223.8777564136499</v>
      </c>
      <c r="L46" s="51"/>
      <c r="M46" s="55">
        <v>49135.884006754306</v>
      </c>
      <c r="N46" s="64">
        <v>42176.919344062895</v>
      </c>
      <c r="O46" s="64">
        <v>40894.352905769701</v>
      </c>
      <c r="P46" s="64">
        <v>33553.382602687998</v>
      </c>
      <c r="Q46" s="64">
        <v>44804.420776464598</v>
      </c>
      <c r="R46" s="64">
        <v>61431.943425687205</v>
      </c>
      <c r="S46" s="64">
        <v>72298.154607800796</v>
      </c>
      <c r="T46" s="73">
        <v>71083.170526247806</v>
      </c>
      <c r="U46" s="65">
        <v>78080.552233023496</v>
      </c>
    </row>
    <row r="47" spans="1:21" s="28" customFormat="1" ht="12.75" x14ac:dyDescent="0.2">
      <c r="A47" s="43" t="str">
        <f>VLOOKUP("&lt;Zeilentitel_32&gt;",Uebersetzungen!$B$3:$E$60,Uebersetzungen!$B$2+1,FALSE)</f>
        <v>Tessin</v>
      </c>
      <c r="B47" s="34"/>
      <c r="C47" s="56">
        <v>6474.5386551872598</v>
      </c>
      <c r="D47" s="66">
        <v>6111.6841776136198</v>
      </c>
      <c r="E47" s="66">
        <v>6683.0117462499602</v>
      </c>
      <c r="F47" s="66">
        <v>6063.1985975857806</v>
      </c>
      <c r="G47" s="74">
        <v>5651.60393765967</v>
      </c>
      <c r="H47" s="74">
        <v>5879.4594099981805</v>
      </c>
      <c r="I47" s="74">
        <v>6467.10535207878</v>
      </c>
      <c r="J47" s="74">
        <v>6299.6749391520498</v>
      </c>
      <c r="K47" s="67">
        <v>6223.87775641387</v>
      </c>
      <c r="L47" s="53"/>
      <c r="M47" s="56">
        <v>49135.884006755499</v>
      </c>
      <c r="N47" s="66">
        <v>42176.919344063106</v>
      </c>
      <c r="O47" s="66">
        <v>40894.35290577</v>
      </c>
      <c r="P47" s="66">
        <v>33553.382602687503</v>
      </c>
      <c r="Q47" s="66">
        <v>44804.420776465304</v>
      </c>
      <c r="R47" s="66">
        <v>61431.943425686302</v>
      </c>
      <c r="S47" s="66">
        <v>72298.154607800592</v>
      </c>
      <c r="T47" s="74">
        <v>71083.170526247108</v>
      </c>
      <c r="U47" s="67">
        <v>78080.552233020397</v>
      </c>
    </row>
    <row r="48" spans="1:21" s="28" customFormat="1" ht="12.75" x14ac:dyDescent="0.2">
      <c r="A48" s="42" t="str">
        <f>VLOOKUP("&lt;Zeilentitel_33&gt;",Uebersetzungen!$B$3:$E$60,Uebersetzungen!$B$2+1,FALSE)</f>
        <v>Region nicht spezifiziert**</v>
      </c>
      <c r="B48" s="34"/>
      <c r="C48" s="55">
        <v>4107.4373759999999</v>
      </c>
      <c r="D48" s="64">
        <v>4207.3517320000001</v>
      </c>
      <c r="E48" s="64">
        <v>4381.9568849999996</v>
      </c>
      <c r="F48" s="64">
        <v>4179.4674759999998</v>
      </c>
      <c r="G48" s="73">
        <v>3666.2004860000002</v>
      </c>
      <c r="H48" s="73">
        <v>4554.5353400000004</v>
      </c>
      <c r="I48" s="73">
        <v>4080.3695250000001</v>
      </c>
      <c r="J48" s="73">
        <v>4224.238926</v>
      </c>
      <c r="K48" s="65">
        <v>5704.2526090000001</v>
      </c>
      <c r="L48" s="53"/>
      <c r="M48" s="55">
        <v>5612.5998209999998</v>
      </c>
      <c r="N48" s="64">
        <v>7227.7186650000003</v>
      </c>
      <c r="O48" s="64">
        <v>7310.1418739999999</v>
      </c>
      <c r="P48" s="64">
        <v>5409.0423860000001</v>
      </c>
      <c r="Q48" s="64">
        <v>5599.781446</v>
      </c>
      <c r="R48" s="64">
        <v>9659.7768230000001</v>
      </c>
      <c r="S48" s="64">
        <v>9508.3701259999998</v>
      </c>
      <c r="T48" s="73">
        <v>12439.13732</v>
      </c>
      <c r="U48" s="65">
        <v>11477.35485</v>
      </c>
    </row>
    <row r="49" spans="1:21" s="28" customFormat="1" ht="12.75" x14ac:dyDescent="0.2">
      <c r="A49" s="43" t="str">
        <f>VLOOKUP("&lt;Zeilentitel_34&gt;",Uebersetzungen!$B$3:$E$60,Uebersetzungen!$B$2+1,FALSE)</f>
        <v>Fürstentum Liechtenstein</v>
      </c>
      <c r="B49" s="34"/>
      <c r="C49" s="56">
        <v>3224.885612</v>
      </c>
      <c r="D49" s="66">
        <v>3285.9836839999998</v>
      </c>
      <c r="E49" s="66">
        <v>3490.1390409999999</v>
      </c>
      <c r="F49" s="66">
        <v>3378.3165140000001</v>
      </c>
      <c r="G49" s="74">
        <v>2820.9631300000001</v>
      </c>
      <c r="H49" s="74">
        <v>3459.7470050000002</v>
      </c>
      <c r="I49" s="74">
        <v>3138.2011440000001</v>
      </c>
      <c r="J49" s="74">
        <v>3152.0321739999999</v>
      </c>
      <c r="K49" s="67">
        <v>3065.7580379999999</v>
      </c>
      <c r="L49" s="53"/>
      <c r="M49" s="56">
        <v>3300.6139520000002</v>
      </c>
      <c r="N49" s="66">
        <v>3332.5056020000002</v>
      </c>
      <c r="O49" s="66">
        <v>3585.083333</v>
      </c>
      <c r="P49" s="66">
        <v>3421.6216880000002</v>
      </c>
      <c r="Q49" s="66">
        <v>2860.855775</v>
      </c>
      <c r="R49" s="66">
        <v>3514.8936570000001</v>
      </c>
      <c r="S49" s="66">
        <v>3257.9364569999998</v>
      </c>
      <c r="T49" s="74">
        <v>3411.4056989999999</v>
      </c>
      <c r="U49" s="67">
        <v>3210.0713369999999</v>
      </c>
    </row>
    <row r="50" spans="1:21" s="28" customFormat="1" ht="13.5" thickBot="1" x14ac:dyDescent="0.25">
      <c r="A50" s="44" t="str">
        <f>VLOOKUP("&lt;Zeilentitel_35&gt;",Uebersetzungen!$B$3:$E$60,Uebersetzungen!$B$2+1,FALSE)</f>
        <v>Kanton nicht spezifiziert</v>
      </c>
      <c r="B50" s="34"/>
      <c r="C50" s="58">
        <v>882.55176400000005</v>
      </c>
      <c r="D50" s="70">
        <v>921.36804800000004</v>
      </c>
      <c r="E50" s="70">
        <v>891.81784400000004</v>
      </c>
      <c r="F50" s="70">
        <v>801.15096200000005</v>
      </c>
      <c r="G50" s="76">
        <v>845.23735599999998</v>
      </c>
      <c r="H50" s="76">
        <v>1094.788335</v>
      </c>
      <c r="I50" s="76">
        <v>942.16838099999995</v>
      </c>
      <c r="J50" s="76">
        <v>1072.2067520000001</v>
      </c>
      <c r="K50" s="71">
        <v>2638.4945710000002</v>
      </c>
      <c r="L50" s="51"/>
      <c r="M50" s="58">
        <v>2311.9858690000001</v>
      </c>
      <c r="N50" s="70">
        <v>3895.2130630000001</v>
      </c>
      <c r="O50" s="70">
        <v>3725.0585409999999</v>
      </c>
      <c r="P50" s="70">
        <v>1987.4206979999999</v>
      </c>
      <c r="Q50" s="70">
        <v>2738.925671</v>
      </c>
      <c r="R50" s="70">
        <v>6144.8831659999996</v>
      </c>
      <c r="S50" s="70">
        <v>6250.433669</v>
      </c>
      <c r="T50" s="76">
        <v>9027.7316210000008</v>
      </c>
      <c r="U50" s="71">
        <v>8267.2835130000003</v>
      </c>
    </row>
    <row r="51" spans="1:21" s="28" customFormat="1" ht="12.75" x14ac:dyDescent="0.2">
      <c r="A51" s="36"/>
      <c r="B51" s="34"/>
      <c r="C51" s="13"/>
      <c r="D51" s="13"/>
      <c r="E51" s="13"/>
      <c r="F51" s="13"/>
      <c r="G51" s="13"/>
      <c r="H51" s="13"/>
      <c r="I51" s="13"/>
      <c r="J51" s="13"/>
      <c r="K51" s="13"/>
      <c r="L51" s="51"/>
      <c r="M51" s="13"/>
      <c r="N51" s="13"/>
      <c r="O51" s="13"/>
      <c r="P51" s="13"/>
      <c r="Q51" s="13"/>
      <c r="R51" s="13"/>
      <c r="S51" s="13"/>
      <c r="T51" s="13"/>
    </row>
    <row r="52" spans="1:21" s="28" customFormat="1" ht="12.75" x14ac:dyDescent="0.2">
      <c r="A52" s="60" t="str">
        <f>VLOOKUP("&lt;Legende_1&gt;",Uebersetzungen!$B$3:$E$326,Uebersetzungen!$B$2+1,FALSE)</f>
        <v>* ohne Edelmetalle, Edel- und Schmucksteine, Kunstgegenstände und Antiquitäten</v>
      </c>
      <c r="B52" s="34"/>
      <c r="C52" s="13"/>
      <c r="D52" s="13"/>
      <c r="E52" s="13"/>
      <c r="F52" s="13"/>
      <c r="G52" s="13"/>
      <c r="H52" s="13"/>
      <c r="I52" s="13"/>
      <c r="J52" s="13"/>
      <c r="K52" s="13"/>
      <c r="L52" s="51"/>
      <c r="M52" s="13"/>
      <c r="N52" s="13"/>
      <c r="O52" s="13"/>
      <c r="P52" s="13"/>
      <c r="Q52" s="13"/>
      <c r="R52" s="13"/>
      <c r="S52" s="13"/>
      <c r="T52" s="13"/>
    </row>
    <row r="53" spans="1:21" s="28" customFormat="1" ht="12.75" x14ac:dyDescent="0.2">
      <c r="A53" s="60" t="str">
        <f>VLOOKUP("&lt;Legende_2&gt;",Uebersetzungen!$B$3:$E$326,Uebersetzungen!$B$2+1,FALSE)</f>
        <v>** Die nicht-spezifizierte Region enthält Fürstentum Liechtenstein und den nicht-spezifizierten Kanton</v>
      </c>
      <c r="B53" s="34"/>
      <c r="C53" s="13"/>
      <c r="D53" s="13"/>
      <c r="E53" s="13"/>
      <c r="F53" s="13"/>
      <c r="G53" s="13"/>
      <c r="H53" s="13"/>
      <c r="I53" s="13"/>
      <c r="J53" s="13"/>
      <c r="K53" s="13"/>
      <c r="L53" s="51"/>
      <c r="M53" s="13"/>
      <c r="N53" s="13"/>
      <c r="O53" s="13"/>
      <c r="P53" s="13"/>
      <c r="Q53" s="13"/>
      <c r="R53" s="13"/>
      <c r="S53" s="13"/>
      <c r="T53" s="13"/>
    </row>
    <row r="54" spans="1:21" s="28" customFormat="1" ht="12.75" x14ac:dyDescent="0.2">
      <c r="A54" s="5"/>
      <c r="B54" s="40"/>
      <c r="C54" s="6"/>
      <c r="D54" s="7"/>
      <c r="E54" s="7"/>
      <c r="F54" s="7"/>
      <c r="G54" s="7"/>
      <c r="H54" s="7"/>
      <c r="I54" s="7"/>
      <c r="J54" s="7"/>
      <c r="K54" s="7"/>
      <c r="L54" s="40"/>
      <c r="M54" s="6"/>
      <c r="N54" s="7"/>
      <c r="O54" s="7"/>
      <c r="P54" s="7"/>
      <c r="Q54" s="7"/>
      <c r="R54" s="7"/>
      <c r="S54" s="7"/>
      <c r="T54" s="7"/>
    </row>
    <row r="55" spans="1:21" s="28" customFormat="1" ht="12.75" x14ac:dyDescent="0.2">
      <c r="A55" s="9" t="str">
        <f>VLOOKUP("&lt;quelle_1&gt;",Uebersetzungen!$B$3:$E$60,Uebersetzungen!$B$2+1,FALSE)</f>
        <v>Quelle: Eidgenössische Zollverwaltung (Aussenhandelsstatistik)</v>
      </c>
      <c r="B55" s="39"/>
      <c r="C55" s="8"/>
      <c r="D55" s="8"/>
      <c r="E55" s="8"/>
      <c r="F55" s="8"/>
      <c r="G55" s="8"/>
      <c r="H55" s="8"/>
      <c r="I55" s="8"/>
      <c r="J55" s="8"/>
      <c r="K55" s="8"/>
      <c r="L55" s="39"/>
      <c r="M55" s="8"/>
      <c r="N55" s="8"/>
      <c r="O55" s="8"/>
      <c r="P55" s="8"/>
      <c r="Q55" s="8"/>
      <c r="R55" s="8"/>
      <c r="S55" s="8"/>
      <c r="T55" s="8"/>
    </row>
    <row r="56" spans="1:21" s="28" customFormat="1" ht="12.75" x14ac:dyDescent="0.2">
      <c r="A56" s="8" t="str">
        <f>VLOOKUP("&lt;aktualisierung&gt;",Uebersetzungen!$B$3:$E$204,Uebersetzungen!$B$2+1,FALSE)</f>
        <v>Letztmals aktualisiert am: 09.07.2025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</sheetData>
  <sheetProtection sheet="1" objects="1" scenarios="1"/>
  <mergeCells count="3">
    <mergeCell ref="A7:D7"/>
    <mergeCell ref="C12:K12"/>
    <mergeCell ref="M12:U12"/>
  </mergeCells>
  <pageMargins left="0.7" right="0.7" top="0.75" bottom="0.75" header="0.3" footer="0.3"/>
  <pageSetup paperSize="9" scale="3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225" r:id="rId4" name="Option Button 1">
              <controlPr defaultSize="0" autoFill="0" autoLine="0" autoPict="0">
                <anchor moveWithCells="1">
                  <from>
                    <xdr:col>5</xdr:col>
                    <xdr:colOff>390525</xdr:colOff>
                    <xdr:row>1</xdr:row>
                    <xdr:rowOff>114300</xdr:rowOff>
                  </from>
                  <to>
                    <xdr:col>6</xdr:col>
                    <xdr:colOff>447675</xdr:colOff>
                    <xdr:row>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6" r:id="rId5" name="Option Button 2">
              <controlPr defaultSize="0" autoFill="0" autoLine="0" autoPict="0">
                <anchor moveWithCells="1">
                  <from>
                    <xdr:col>5</xdr:col>
                    <xdr:colOff>390525</xdr:colOff>
                    <xdr:row>2</xdr:row>
                    <xdr:rowOff>114300</xdr:rowOff>
                  </from>
                  <to>
                    <xdr:col>6</xdr:col>
                    <xdr:colOff>838200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7" r:id="rId6" name="Option Button 3">
              <controlPr defaultSize="0" autoFill="0" autoLine="0" autoPict="0">
                <anchor moveWithCells="1">
                  <from>
                    <xdr:col>5</xdr:col>
                    <xdr:colOff>390525</xdr:colOff>
                    <xdr:row>3</xdr:row>
                    <xdr:rowOff>95250</xdr:rowOff>
                  </from>
                  <to>
                    <xdr:col>6</xdr:col>
                    <xdr:colOff>447675</xdr:colOff>
                    <xdr:row>4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6"/>
  <sheetViews>
    <sheetView showGridLines="0" zoomScaleNormal="100" workbookViewId="0"/>
  </sheetViews>
  <sheetFormatPr baseColWidth="10" defaultColWidth="9.140625" defaultRowHeight="14.25" x14ac:dyDescent="0.2"/>
  <cols>
    <col min="1" max="1" width="25.85546875" style="25" customWidth="1"/>
    <col min="2" max="2" width="3.85546875" style="25" customWidth="1"/>
    <col min="3" max="11" width="16.7109375" style="25" customWidth="1"/>
    <col min="12" max="12" width="3.85546875" style="25" customWidth="1"/>
    <col min="13" max="20" width="16.7109375" style="25" customWidth="1"/>
    <col min="21" max="21" width="16.7109375" style="29" customWidth="1"/>
    <col min="22" max="16384" width="9.140625" style="29"/>
  </cols>
  <sheetData>
    <row r="1" spans="1:21" s="27" customFormat="1" ht="12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1" s="27" customFormat="1" x14ac:dyDescent="0.2">
      <c r="A2" s="1"/>
      <c r="B2" s="1"/>
      <c r="C2" s="25"/>
      <c r="D2" s="25"/>
      <c r="E2" s="25"/>
      <c r="F2" s="25"/>
      <c r="G2" s="25"/>
      <c r="H2" s="25"/>
      <c r="I2" s="1"/>
      <c r="J2" s="1"/>
      <c r="K2" s="1"/>
      <c r="L2" s="1"/>
      <c r="M2" s="25"/>
      <c r="N2" s="25"/>
      <c r="O2" s="25"/>
      <c r="P2" s="25"/>
      <c r="Q2" s="25"/>
      <c r="R2" s="25"/>
      <c r="S2" s="1"/>
      <c r="T2" s="1"/>
    </row>
    <row r="3" spans="1:21" s="27" customFormat="1" x14ac:dyDescent="0.2">
      <c r="A3" s="1"/>
      <c r="B3" s="1"/>
      <c r="C3" s="25"/>
      <c r="D3" s="25"/>
      <c r="E3" s="25"/>
      <c r="F3" s="25"/>
      <c r="G3" s="25"/>
      <c r="H3" s="25"/>
      <c r="I3" s="1"/>
      <c r="J3" s="1"/>
      <c r="K3" s="1"/>
      <c r="L3" s="1"/>
      <c r="M3" s="25"/>
      <c r="N3" s="25"/>
      <c r="O3" s="25"/>
      <c r="P3" s="25"/>
      <c r="Q3" s="25"/>
      <c r="R3" s="25"/>
      <c r="S3" s="1"/>
      <c r="T3" s="1"/>
    </row>
    <row r="4" spans="1:21" s="27" customFormat="1" x14ac:dyDescent="0.2">
      <c r="A4" s="1"/>
      <c r="B4" s="1"/>
      <c r="C4" s="25"/>
      <c r="D4" s="25"/>
      <c r="E4" s="25"/>
      <c r="F4" s="25"/>
      <c r="G4" s="25"/>
      <c r="H4" s="25"/>
      <c r="I4" s="1"/>
      <c r="J4" s="1"/>
      <c r="K4" s="1"/>
      <c r="L4" s="1"/>
      <c r="M4" s="25"/>
      <c r="N4" s="25"/>
      <c r="O4" s="25"/>
      <c r="P4" s="25"/>
      <c r="Q4" s="25"/>
      <c r="R4" s="25"/>
      <c r="S4" s="1"/>
      <c r="T4" s="1"/>
    </row>
    <row r="5" spans="1:21" s="27" customFormat="1" ht="12.7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1" s="27" customFormat="1" ht="12.7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1" s="27" customFormat="1" ht="15.75" customHeight="1" x14ac:dyDescent="0.2">
      <c r="A7" s="79" t="str">
        <f>VLOOKUP("&lt;Fachbereich&gt;",Uebersetzungen!$B$3:$E$60,Uebersetzungen!$B$2+1,FALSE)</f>
        <v>Daten &amp; Statistik</v>
      </c>
      <c r="B7" s="79"/>
      <c r="C7" s="79"/>
      <c r="D7" s="79"/>
      <c r="E7" s="32"/>
      <c r="F7" s="59"/>
      <c r="G7" s="59"/>
      <c r="H7" s="59"/>
      <c r="I7" s="2"/>
      <c r="J7" s="2"/>
      <c r="K7" s="2"/>
      <c r="L7" s="33"/>
      <c r="O7" s="32"/>
      <c r="P7" s="59"/>
      <c r="Q7" s="59"/>
      <c r="R7" s="59"/>
      <c r="S7" s="2"/>
      <c r="T7" s="2"/>
    </row>
    <row r="8" spans="1:21" s="27" customFormat="1" ht="12.7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1" s="28" customFormat="1" ht="18" x14ac:dyDescent="0.2">
      <c r="A9" s="11" t="str">
        <f>VLOOKUP("&lt;T2Titel&gt;",Uebersetzungen!$B$3:$E$334,Uebersetzungen!$B$2+1,FALSE)</f>
        <v>Importe der Schweiz nach Grossregion und Kanton (inkl. Fürstentum Liechtenstein) seit 2016</v>
      </c>
      <c r="B9" s="37"/>
      <c r="C9" s="26"/>
      <c r="D9" s="26"/>
      <c r="E9" s="26"/>
      <c r="F9" s="26"/>
      <c r="G9" s="26"/>
      <c r="H9" s="26"/>
      <c r="I9" s="26"/>
      <c r="J9" s="26"/>
      <c r="K9" s="26"/>
      <c r="L9" s="37"/>
      <c r="M9" s="26"/>
      <c r="N9" s="26"/>
      <c r="O9" s="26"/>
      <c r="P9" s="26"/>
      <c r="Q9" s="26"/>
      <c r="R9" s="26"/>
      <c r="S9" s="26"/>
      <c r="T9" s="26"/>
    </row>
    <row r="10" spans="1:21" s="28" customFormat="1" ht="12.75" x14ac:dyDescent="0.2">
      <c r="A10" s="12" t="str">
        <f>VLOOKUP("&lt;T2UTitel&gt;",Uebersetzungen!$B$3:$E$302,Uebersetzungen!$B$2+1,FALSE)</f>
        <v>Wert in Millionen Franken</v>
      </c>
      <c r="B10" s="38"/>
      <c r="C10" s="26"/>
      <c r="D10" s="26"/>
      <c r="E10" s="26"/>
      <c r="F10" s="26"/>
      <c r="G10" s="26"/>
      <c r="H10" s="26"/>
      <c r="I10" s="26"/>
      <c r="J10" s="26"/>
      <c r="K10" s="26"/>
      <c r="L10" s="38"/>
      <c r="M10" s="26"/>
      <c r="N10" s="26"/>
      <c r="O10" s="26"/>
      <c r="P10" s="26"/>
      <c r="Q10" s="26"/>
      <c r="R10" s="26"/>
      <c r="S10" s="26"/>
      <c r="T10" s="26"/>
    </row>
    <row r="11" spans="1:21" ht="18.75" thickBot="1" x14ac:dyDescent="0.3">
      <c r="C11" s="10"/>
      <c r="D11" s="4"/>
      <c r="E11" s="4"/>
      <c r="F11" s="4"/>
      <c r="G11" s="4"/>
      <c r="H11" s="4"/>
      <c r="I11" s="4"/>
      <c r="J11" s="4"/>
      <c r="K11" s="4"/>
      <c r="M11" s="10"/>
      <c r="N11" s="4"/>
      <c r="O11" s="4"/>
      <c r="P11" s="4"/>
      <c r="Q11" s="4"/>
      <c r="R11" s="4"/>
      <c r="S11" s="4"/>
      <c r="T11" s="4"/>
    </row>
    <row r="12" spans="1:21" s="30" customFormat="1" ht="37.5" customHeight="1" thickBot="1" x14ac:dyDescent="0.3">
      <c r="A12" s="3"/>
      <c r="B12" s="3"/>
      <c r="C12" s="80" t="str">
        <f>VLOOKUP("&lt;SpaltenTitel_1&gt;",Uebersetzungen!$B$3:$E$334,Uebersetzungen!$B$2+1,FALSE)</f>
        <v>Konjunkturelles Total*</v>
      </c>
      <c r="D12" s="81"/>
      <c r="E12" s="81"/>
      <c r="F12" s="81"/>
      <c r="G12" s="81"/>
      <c r="H12" s="81"/>
      <c r="I12" s="81"/>
      <c r="J12" s="81"/>
      <c r="K12" s="82"/>
      <c r="L12" s="3"/>
      <c r="M12" s="80" t="str">
        <f>VLOOKUP("&lt;SpaltenTitel_2&gt;",Uebersetzungen!$B$3:$E$334,Uebersetzungen!$B$2+1,FALSE)</f>
        <v>Gesamttotal</v>
      </c>
      <c r="N12" s="81"/>
      <c r="O12" s="81"/>
      <c r="P12" s="81"/>
      <c r="Q12" s="81"/>
      <c r="R12" s="81"/>
      <c r="S12" s="81"/>
      <c r="T12" s="81"/>
      <c r="U12" s="85"/>
    </row>
    <row r="13" spans="1:21" s="30" customFormat="1" ht="30" customHeight="1" thickBot="1" x14ac:dyDescent="0.3">
      <c r="A13" s="34"/>
      <c r="B13" s="34"/>
      <c r="C13" s="45">
        <v>2016</v>
      </c>
      <c r="D13" s="48">
        <v>2017</v>
      </c>
      <c r="E13" s="77">
        <v>2018</v>
      </c>
      <c r="F13" s="49">
        <v>2019</v>
      </c>
      <c r="G13" s="49">
        <v>2020</v>
      </c>
      <c r="H13" s="49">
        <v>2021</v>
      </c>
      <c r="I13" s="49">
        <v>2022</v>
      </c>
      <c r="J13" s="48">
        <v>2023</v>
      </c>
      <c r="K13" s="46">
        <v>2024</v>
      </c>
      <c r="L13" s="34"/>
      <c r="M13" s="45">
        <v>2016</v>
      </c>
      <c r="N13" s="48">
        <v>2017</v>
      </c>
      <c r="O13" s="77">
        <v>2018</v>
      </c>
      <c r="P13" s="49">
        <v>2019</v>
      </c>
      <c r="Q13" s="49">
        <v>2020</v>
      </c>
      <c r="R13" s="49">
        <v>2021</v>
      </c>
      <c r="S13" s="49">
        <v>2022</v>
      </c>
      <c r="T13" s="48">
        <v>2023</v>
      </c>
      <c r="U13" s="78">
        <v>2024</v>
      </c>
    </row>
    <row r="14" spans="1:21" s="28" customFormat="1" ht="12.75" x14ac:dyDescent="0.2">
      <c r="A14" s="41" t="str">
        <f>VLOOKUP("&lt;Zeilentitel_1&gt;",Uebersetzungen!$B$3:$E$60,Uebersetzungen!$B$2+1,FALSE)</f>
        <v>Total</v>
      </c>
      <c r="B14" s="35"/>
      <c r="C14" s="61">
        <v>173542.07796098001</v>
      </c>
      <c r="D14" s="62">
        <v>185773.76279497799</v>
      </c>
      <c r="E14" s="62">
        <v>201848.79854098198</v>
      </c>
      <c r="F14" s="62">
        <v>205150.13008801598</v>
      </c>
      <c r="G14" s="62">
        <v>182312.291605985</v>
      </c>
      <c r="H14" s="62">
        <v>201318.63521303501</v>
      </c>
      <c r="I14" s="62">
        <v>234804.608639996</v>
      </c>
      <c r="J14" s="72">
        <v>225854.04230795999</v>
      </c>
      <c r="K14" s="63">
        <v>222566.090375567</v>
      </c>
      <c r="L14" s="50"/>
      <c r="M14" s="61">
        <v>266137.15987698198</v>
      </c>
      <c r="N14" s="62">
        <v>265571.54229397699</v>
      </c>
      <c r="O14" s="62">
        <v>273389.09012400499</v>
      </c>
      <c r="P14" s="62">
        <v>276058.11602004402</v>
      </c>
      <c r="Q14" s="62">
        <v>273766.95955998998</v>
      </c>
      <c r="R14" s="62">
        <v>296503.93036405102</v>
      </c>
      <c r="S14" s="62">
        <v>341005.01378603495</v>
      </c>
      <c r="T14" s="72">
        <v>328950.81648702</v>
      </c>
      <c r="U14" s="63">
        <v>327529.63642946398</v>
      </c>
    </row>
    <row r="15" spans="1:21" s="28" customFormat="1" ht="12.75" x14ac:dyDescent="0.2">
      <c r="A15" s="42" t="str">
        <f>VLOOKUP("&lt;Zeilentitel_2&gt;",Uebersetzungen!$B$3:$E$60,Uebersetzungen!$B$2+1,FALSE)</f>
        <v>Genferseeregion</v>
      </c>
      <c r="B15" s="34"/>
      <c r="C15" s="55">
        <v>22673.857171646301</v>
      </c>
      <c r="D15" s="64">
        <v>23495.152920605899</v>
      </c>
      <c r="E15" s="64">
        <v>24893.6884588557</v>
      </c>
      <c r="F15" s="64">
        <v>24829.681830575901</v>
      </c>
      <c r="G15" s="64">
        <v>19900.150585809701</v>
      </c>
      <c r="H15" s="64">
        <v>22577.172455072898</v>
      </c>
      <c r="I15" s="64">
        <v>26119.952302869398</v>
      </c>
      <c r="J15" s="73">
        <v>25314.2191043278</v>
      </c>
      <c r="K15" s="65">
        <v>23927.862216341098</v>
      </c>
      <c r="L15" s="51"/>
      <c r="M15" s="55">
        <v>42689.682787282502</v>
      </c>
      <c r="N15" s="64">
        <v>40874.554408015902</v>
      </c>
      <c r="O15" s="64">
        <v>40071.015358610493</v>
      </c>
      <c r="P15" s="64">
        <v>42047.353521393801</v>
      </c>
      <c r="Q15" s="64">
        <v>40518.522941136398</v>
      </c>
      <c r="R15" s="64">
        <v>30929.517637159599</v>
      </c>
      <c r="S15" s="64">
        <v>37239.4954154394</v>
      </c>
      <c r="T15" s="73">
        <v>33385.928932024501</v>
      </c>
      <c r="U15" s="65">
        <v>32343.100631559897</v>
      </c>
    </row>
    <row r="16" spans="1:21" s="28" customFormat="1" ht="12.75" x14ac:dyDescent="0.2">
      <c r="A16" s="43" t="str">
        <f>VLOOKUP("&lt;Zeilentitel_5&gt;",Uebersetzungen!$B$3:$E$60,Uebersetzungen!$B$2+1,FALSE)</f>
        <v>Genf</v>
      </c>
      <c r="B16" s="34"/>
      <c r="C16" s="56">
        <v>11263.383239029399</v>
      </c>
      <c r="D16" s="66">
        <v>11525.549905571101</v>
      </c>
      <c r="E16" s="66">
        <v>12560.995609063</v>
      </c>
      <c r="F16" s="66">
        <v>12640.550512965599</v>
      </c>
      <c r="G16" s="66">
        <v>9250.6482604877801</v>
      </c>
      <c r="H16" s="66">
        <v>10084.428468132799</v>
      </c>
      <c r="I16" s="66">
        <v>11592.5610208626</v>
      </c>
      <c r="J16" s="74">
        <v>11567.451271153299</v>
      </c>
      <c r="K16" s="67">
        <v>11201.240911552</v>
      </c>
      <c r="L16" s="52"/>
      <c r="M16" s="56">
        <v>30770.911744138499</v>
      </c>
      <c r="N16" s="66">
        <v>28451.0479387866</v>
      </c>
      <c r="O16" s="66">
        <v>27429.6845620938</v>
      </c>
      <c r="P16" s="66">
        <v>29628.474242932498</v>
      </c>
      <c r="Q16" s="66">
        <v>29577.937408027501</v>
      </c>
      <c r="R16" s="66">
        <v>18021.693823826801</v>
      </c>
      <c r="S16" s="66">
        <v>22204.958426773799</v>
      </c>
      <c r="T16" s="74">
        <v>19192.168307260701</v>
      </c>
      <c r="U16" s="67">
        <v>19343.4372929698</v>
      </c>
    </row>
    <row r="17" spans="1:21" s="28" customFormat="1" ht="12.75" x14ac:dyDescent="0.2">
      <c r="A17" s="43" t="str">
        <f>VLOOKUP("&lt;Zeilentitel_3&gt;",Uebersetzungen!$B$3:$E$60,Uebersetzungen!$B$2+1,FALSE)</f>
        <v>Waadt</v>
      </c>
      <c r="B17" s="34"/>
      <c r="C17" s="56">
        <v>9002.5057050761206</v>
      </c>
      <c r="D17" s="66">
        <v>9378.1015448858998</v>
      </c>
      <c r="E17" s="66">
        <v>9487.2975891061906</v>
      </c>
      <c r="F17" s="66">
        <v>9506.3938590708913</v>
      </c>
      <c r="G17" s="66">
        <v>8253.1645933007203</v>
      </c>
      <c r="H17" s="66">
        <v>9573.4772268969591</v>
      </c>
      <c r="I17" s="66">
        <v>11128.2891709919</v>
      </c>
      <c r="J17" s="74">
        <v>10244.835765964701</v>
      </c>
      <c r="K17" s="67">
        <v>9895.0630620577704</v>
      </c>
      <c r="L17" s="52"/>
      <c r="M17" s="56">
        <v>9478.2348769764812</v>
      </c>
      <c r="N17" s="66">
        <v>9762.3873182945717</v>
      </c>
      <c r="O17" s="66">
        <v>9768.5211275090205</v>
      </c>
      <c r="P17" s="66">
        <v>9705.9194998339008</v>
      </c>
      <c r="Q17" s="66">
        <v>8460.185216277021</v>
      </c>
      <c r="R17" s="66">
        <v>9894.5650996798504</v>
      </c>
      <c r="S17" s="66">
        <v>11572.388751599899</v>
      </c>
      <c r="T17" s="74">
        <v>10567.598774268199</v>
      </c>
      <c r="U17" s="67">
        <v>10131.1231798923</v>
      </c>
    </row>
    <row r="18" spans="1:21" s="28" customFormat="1" ht="12.75" x14ac:dyDescent="0.2">
      <c r="A18" s="43" t="str">
        <f>VLOOKUP("&lt;Zeilentitel_4&gt;",Uebersetzungen!$B$3:$E$60,Uebersetzungen!$B$2+1,FALSE)</f>
        <v>Wallis</v>
      </c>
      <c r="B18" s="34"/>
      <c r="C18" s="56">
        <v>2407.96822754396</v>
      </c>
      <c r="D18" s="66">
        <v>2591.5014701487498</v>
      </c>
      <c r="E18" s="66">
        <v>2845.3952606910802</v>
      </c>
      <c r="F18" s="66">
        <v>2682.7374585359803</v>
      </c>
      <c r="G18" s="66">
        <v>2396.3377320254003</v>
      </c>
      <c r="H18" s="66">
        <v>2919.2667600438099</v>
      </c>
      <c r="I18" s="66">
        <v>3399.10211101293</v>
      </c>
      <c r="J18" s="74">
        <v>3501.9320672091098</v>
      </c>
      <c r="K18" s="67">
        <v>2831.5582427292297</v>
      </c>
      <c r="L18" s="52"/>
      <c r="M18" s="56">
        <v>2440.5361661690899</v>
      </c>
      <c r="N18" s="66">
        <v>2661.11915092656</v>
      </c>
      <c r="O18" s="66">
        <v>2872.8096690143998</v>
      </c>
      <c r="P18" s="66">
        <v>2712.9597786279801</v>
      </c>
      <c r="Q18" s="66">
        <v>2480.40031683602</v>
      </c>
      <c r="R18" s="66">
        <v>3013.2587136482503</v>
      </c>
      <c r="S18" s="66">
        <v>3462.14823706364</v>
      </c>
      <c r="T18" s="74">
        <v>3626.1618504939297</v>
      </c>
      <c r="U18" s="67">
        <v>2868.5401586985699</v>
      </c>
    </row>
    <row r="19" spans="1:21" s="28" customFormat="1" ht="12.75" x14ac:dyDescent="0.2">
      <c r="A19" s="42" t="str">
        <f>VLOOKUP("&lt;Zeilentitel_6&gt;",Uebersetzungen!$B$3:$E$60,Uebersetzungen!$B$2+1,FALSE)</f>
        <v>Espace Mittelland</v>
      </c>
      <c r="B19" s="34"/>
      <c r="C19" s="55">
        <v>24658.058407426899</v>
      </c>
      <c r="D19" s="64">
        <v>25895.747157332</v>
      </c>
      <c r="E19" s="64">
        <v>28411.8428479795</v>
      </c>
      <c r="F19" s="64">
        <v>27540.556939464001</v>
      </c>
      <c r="G19" s="64">
        <v>24079.6950562374</v>
      </c>
      <c r="H19" s="64">
        <v>28820.540441241101</v>
      </c>
      <c r="I19" s="64">
        <v>35935.829743294998</v>
      </c>
      <c r="J19" s="73">
        <v>31918.615221719898</v>
      </c>
      <c r="K19" s="65">
        <v>29379.073279522203</v>
      </c>
      <c r="L19" s="51"/>
      <c r="M19" s="55">
        <v>37365.8606520799</v>
      </c>
      <c r="N19" s="64">
        <v>37810.796006721495</v>
      </c>
      <c r="O19" s="64">
        <v>40685.453424769796</v>
      </c>
      <c r="P19" s="64">
        <v>39750.359380415604</v>
      </c>
      <c r="Q19" s="64">
        <v>37093.831293903393</v>
      </c>
      <c r="R19" s="64">
        <v>40742.365421563904</v>
      </c>
      <c r="S19" s="64">
        <v>50613.016531295601</v>
      </c>
      <c r="T19" s="73">
        <v>45793.248490757302</v>
      </c>
      <c r="U19" s="65">
        <v>45324.188268774102</v>
      </c>
    </row>
    <row r="20" spans="1:21" s="28" customFormat="1" ht="12.75" x14ac:dyDescent="0.2">
      <c r="A20" s="43" t="str">
        <f>VLOOKUP("&lt;Zeilentitel_7&gt;",Uebersetzungen!$B$3:$E$60,Uebersetzungen!$B$2+1,FALSE)</f>
        <v>Bern</v>
      </c>
      <c r="B20" s="34"/>
      <c r="C20" s="56">
        <v>11191.459375424101</v>
      </c>
      <c r="D20" s="66">
        <v>11910.1692729519</v>
      </c>
      <c r="E20" s="66">
        <v>13131.801538449599</v>
      </c>
      <c r="F20" s="66">
        <v>12692.315189016899</v>
      </c>
      <c r="G20" s="66">
        <v>11919.0935412037</v>
      </c>
      <c r="H20" s="66">
        <v>14340.6356648571</v>
      </c>
      <c r="I20" s="66">
        <v>19405.211813535901</v>
      </c>
      <c r="J20" s="74">
        <v>15904.8555089734</v>
      </c>
      <c r="K20" s="67">
        <v>14716.7335484505</v>
      </c>
      <c r="L20" s="52"/>
      <c r="M20" s="56">
        <v>11463.0680159067</v>
      </c>
      <c r="N20" s="66">
        <v>12229.328470999</v>
      </c>
      <c r="O20" s="66">
        <v>13365.153716621599</v>
      </c>
      <c r="P20" s="66">
        <v>12886.0294551023</v>
      </c>
      <c r="Q20" s="66">
        <v>12117.416527338301</v>
      </c>
      <c r="R20" s="66">
        <v>14675.417486615101</v>
      </c>
      <c r="S20" s="66">
        <v>19808.616714391101</v>
      </c>
      <c r="T20" s="74">
        <v>16448.331315913001</v>
      </c>
      <c r="U20" s="67">
        <v>15090.5072667691</v>
      </c>
    </row>
    <row r="21" spans="1:21" s="28" customFormat="1" ht="12.75" x14ac:dyDescent="0.2">
      <c r="A21" s="43" t="str">
        <f>VLOOKUP("&lt;Zeilentitel_8&gt;",Uebersetzungen!$B$3:$E$60,Uebersetzungen!$B$2+1,FALSE)</f>
        <v>Freiburg</v>
      </c>
      <c r="B21" s="34"/>
      <c r="C21" s="56">
        <v>3285.4164340511797</v>
      </c>
      <c r="D21" s="66">
        <v>3583.71248620811</v>
      </c>
      <c r="E21" s="66">
        <v>3962.9424708623301</v>
      </c>
      <c r="F21" s="66">
        <v>3738.4581041113502</v>
      </c>
      <c r="G21" s="66">
        <v>3360.1386165007202</v>
      </c>
      <c r="H21" s="66">
        <v>4031.4138917274299</v>
      </c>
      <c r="I21" s="66">
        <v>4372.6226655608598</v>
      </c>
      <c r="J21" s="74">
        <v>4171.06468235796</v>
      </c>
      <c r="K21" s="67">
        <v>4069.0617669319199</v>
      </c>
      <c r="L21" s="52"/>
      <c r="M21" s="56">
        <v>3386.32029989595</v>
      </c>
      <c r="N21" s="66">
        <v>3701.48554085044</v>
      </c>
      <c r="O21" s="66">
        <v>4054.9525771809604</v>
      </c>
      <c r="P21" s="66">
        <v>3810.6588950053901</v>
      </c>
      <c r="Q21" s="66">
        <v>3412.19245639372</v>
      </c>
      <c r="R21" s="66">
        <v>4115.8446067463301</v>
      </c>
      <c r="S21" s="66">
        <v>4472.4789838205406</v>
      </c>
      <c r="T21" s="74">
        <v>4248.1994517388603</v>
      </c>
      <c r="U21" s="67">
        <v>4141.61466046846</v>
      </c>
    </row>
    <row r="22" spans="1:21" s="28" customFormat="1" ht="12.75" x14ac:dyDescent="0.2">
      <c r="A22" s="43" t="str">
        <f>VLOOKUP("&lt;Zeilentitel_11&gt;",Uebersetzungen!$B$3:$E$60,Uebersetzungen!$B$2+1,FALSE)</f>
        <v>Jura</v>
      </c>
      <c r="B22" s="34"/>
      <c r="C22" s="56">
        <v>1135.6274625906101</v>
      </c>
      <c r="D22" s="66">
        <v>1281.7732653732901</v>
      </c>
      <c r="E22" s="66">
        <v>1290.55112277889</v>
      </c>
      <c r="F22" s="66">
        <v>1296.7026276271802</v>
      </c>
      <c r="G22" s="66">
        <v>1019.4771069028</v>
      </c>
      <c r="H22" s="66">
        <v>1249.12002198544</v>
      </c>
      <c r="I22" s="66">
        <v>1428.9578420637499</v>
      </c>
      <c r="J22" s="74">
        <v>1424.4590301294099</v>
      </c>
      <c r="K22" s="67">
        <v>1275.8033186823102</v>
      </c>
      <c r="L22" s="52"/>
      <c r="M22" s="56">
        <v>1253.69249086846</v>
      </c>
      <c r="N22" s="66">
        <v>1574.4967680436598</v>
      </c>
      <c r="O22" s="66">
        <v>1984.33172857562</v>
      </c>
      <c r="P22" s="66">
        <v>1957.1222549755098</v>
      </c>
      <c r="Q22" s="66">
        <v>1636.4906239721201</v>
      </c>
      <c r="R22" s="66">
        <v>2257.9271912514</v>
      </c>
      <c r="S22" s="66">
        <v>2665.2150008892104</v>
      </c>
      <c r="T22" s="74">
        <v>2964.42301762943</v>
      </c>
      <c r="U22" s="67">
        <v>3127.8386623656302</v>
      </c>
    </row>
    <row r="23" spans="1:21" s="28" customFormat="1" ht="12.75" x14ac:dyDescent="0.2">
      <c r="A23" s="43" t="str">
        <f>VLOOKUP("&lt;Zeilentitel_10&gt;",Uebersetzungen!$B$3:$E$60,Uebersetzungen!$B$2+1,FALSE)</f>
        <v>Neuenburg</v>
      </c>
      <c r="B23" s="34"/>
      <c r="C23" s="56">
        <v>4930.8905691759001</v>
      </c>
      <c r="D23" s="66">
        <v>4900.9939049782697</v>
      </c>
      <c r="E23" s="66">
        <v>5396.08980670862</v>
      </c>
      <c r="F23" s="66">
        <v>5300.8210326193403</v>
      </c>
      <c r="G23" s="66">
        <v>3447.7961718145498</v>
      </c>
      <c r="H23" s="66">
        <v>3946.4754179547799</v>
      </c>
      <c r="I23" s="66">
        <v>4388.51053829374</v>
      </c>
      <c r="J23" s="74">
        <v>4823.3252319666408</v>
      </c>
      <c r="K23" s="67">
        <v>4341.0588562149696</v>
      </c>
      <c r="L23" s="52"/>
      <c r="M23" s="56">
        <v>17125.552329183702</v>
      </c>
      <c r="N23" s="66">
        <v>16056.675344229299</v>
      </c>
      <c r="O23" s="66">
        <v>16632.590275308899</v>
      </c>
      <c r="P23" s="66">
        <v>16573.148881768298</v>
      </c>
      <c r="Q23" s="66">
        <v>15573.3884892149</v>
      </c>
      <c r="R23" s="66">
        <v>14397.466203071801</v>
      </c>
      <c r="S23" s="66">
        <v>17273.256986138502</v>
      </c>
      <c r="T23" s="74">
        <v>16486.054257735399</v>
      </c>
      <c r="U23" s="67">
        <v>17979.614990011298</v>
      </c>
    </row>
    <row r="24" spans="1:21" s="28" customFormat="1" ht="12.75" x14ac:dyDescent="0.2">
      <c r="A24" s="43" t="str">
        <f>VLOOKUP("&lt;Zeilentitel_9&gt;",Uebersetzungen!$B$3:$E$60,Uebersetzungen!$B$2+1,FALSE)</f>
        <v>Solothurn</v>
      </c>
      <c r="B24" s="34"/>
      <c r="C24" s="56">
        <v>4114.6645661804296</v>
      </c>
      <c r="D24" s="66">
        <v>4219.0982278169595</v>
      </c>
      <c r="E24" s="66">
        <v>4630.4579091837395</v>
      </c>
      <c r="F24" s="66">
        <v>4512.2599860950695</v>
      </c>
      <c r="G24" s="66">
        <v>4333.18961981138</v>
      </c>
      <c r="H24" s="66">
        <v>5252.8954447156893</v>
      </c>
      <c r="I24" s="66">
        <v>6340.5268838416205</v>
      </c>
      <c r="J24" s="74">
        <v>5594.9107682938602</v>
      </c>
      <c r="K24" s="67">
        <v>4976.4157892406101</v>
      </c>
      <c r="L24" s="52"/>
      <c r="M24" s="56">
        <v>4137.2275162158603</v>
      </c>
      <c r="N24" s="66">
        <v>4248.8098825915495</v>
      </c>
      <c r="O24" s="66">
        <v>4648.4251270848399</v>
      </c>
      <c r="P24" s="66">
        <v>4523.3998935662903</v>
      </c>
      <c r="Q24" s="66">
        <v>4354.34319697922</v>
      </c>
      <c r="R24" s="66">
        <v>5295.70993388027</v>
      </c>
      <c r="S24" s="66">
        <v>6393.4488460529301</v>
      </c>
      <c r="T24" s="74">
        <v>5646.2404477426298</v>
      </c>
      <c r="U24" s="67">
        <v>4984.6126891615104</v>
      </c>
    </row>
    <row r="25" spans="1:21" s="28" customFormat="1" ht="12.75" x14ac:dyDescent="0.2">
      <c r="A25" s="42" t="str">
        <f>VLOOKUP("&lt;Zeilentitel_12&gt;",Uebersetzungen!$B$3:$E$60,Uebersetzungen!$B$2+1,FALSE)</f>
        <v>Nordwestschweiz</v>
      </c>
      <c r="B25" s="34"/>
      <c r="C25" s="55">
        <v>43771.143587919098</v>
      </c>
      <c r="D25" s="64">
        <v>47623.676426097394</v>
      </c>
      <c r="E25" s="64">
        <v>51813.260157271499</v>
      </c>
      <c r="F25" s="64">
        <v>54938.177205460401</v>
      </c>
      <c r="G25" s="64">
        <v>51522.7205061766</v>
      </c>
      <c r="H25" s="64">
        <v>56065.5351254462</v>
      </c>
      <c r="I25" s="64">
        <v>67134.335895292708</v>
      </c>
      <c r="J25" s="73">
        <v>69727.392311704898</v>
      </c>
      <c r="K25" s="65">
        <v>72887.811356048711</v>
      </c>
      <c r="L25" s="51"/>
      <c r="M25" s="55">
        <v>44065.528050852001</v>
      </c>
      <c r="N25" s="64">
        <v>47944.440636417996</v>
      </c>
      <c r="O25" s="64">
        <v>52095.046495122901</v>
      </c>
      <c r="P25" s="64">
        <v>55103.545785927301</v>
      </c>
      <c r="Q25" s="64">
        <v>51851.086782164399</v>
      </c>
      <c r="R25" s="64">
        <v>56462.879413016701</v>
      </c>
      <c r="S25" s="64">
        <v>67667.231316847101</v>
      </c>
      <c r="T25" s="73">
        <v>70233.031201194506</v>
      </c>
      <c r="U25" s="65">
        <v>73160.173634068808</v>
      </c>
    </row>
    <row r="26" spans="1:21" s="28" customFormat="1" ht="12.75" x14ac:dyDescent="0.2">
      <c r="A26" s="43" t="str">
        <f>VLOOKUP("&lt;Zeilentitel_15&gt;",Uebersetzungen!$B$3:$E$60,Uebersetzungen!$B$2+1,FALSE)</f>
        <v>Aargau</v>
      </c>
      <c r="B26" s="34"/>
      <c r="C26" s="56">
        <v>12023.100409725701</v>
      </c>
      <c r="D26" s="66">
        <v>13147.522391395099</v>
      </c>
      <c r="E26" s="66">
        <v>15060.9181797611</v>
      </c>
      <c r="F26" s="66">
        <v>14745.7634133953</v>
      </c>
      <c r="G26" s="66">
        <v>13591.6655692688</v>
      </c>
      <c r="H26" s="66">
        <v>14968.554737652501</v>
      </c>
      <c r="I26" s="66">
        <v>17835.425702177199</v>
      </c>
      <c r="J26" s="74">
        <v>16993.9135622344</v>
      </c>
      <c r="K26" s="67">
        <v>15692.532204884501</v>
      </c>
      <c r="L26" s="53"/>
      <c r="M26" s="56">
        <v>12050.572737337799</v>
      </c>
      <c r="N26" s="66">
        <v>13196.7993496049</v>
      </c>
      <c r="O26" s="66">
        <v>15103.0538537801</v>
      </c>
      <c r="P26" s="66">
        <v>14781.666715426099</v>
      </c>
      <c r="Q26" s="66">
        <v>13636.8074425045</v>
      </c>
      <c r="R26" s="66">
        <v>15049.9905655321</v>
      </c>
      <c r="S26" s="66">
        <v>17961.7265023736</v>
      </c>
      <c r="T26" s="74">
        <v>17103.478918761499</v>
      </c>
      <c r="U26" s="67">
        <v>15749.475295271201</v>
      </c>
    </row>
    <row r="27" spans="1:21" s="28" customFormat="1" ht="12.75" x14ac:dyDescent="0.2">
      <c r="A27" s="43" t="str">
        <f>VLOOKUP("&lt;Zeilentitel_14&gt;",Uebersetzungen!$B$3:$E$60,Uebersetzungen!$B$2+1,FALSE)</f>
        <v>Basel-Landschaft</v>
      </c>
      <c r="B27" s="34"/>
      <c r="C27" s="56">
        <v>5386.5979693405106</v>
      </c>
      <c r="D27" s="66">
        <v>5823.6675580267201</v>
      </c>
      <c r="E27" s="66">
        <v>6616.76694180299</v>
      </c>
      <c r="F27" s="66">
        <v>6136.9998777848505</v>
      </c>
      <c r="G27" s="66">
        <v>6465.3811740430101</v>
      </c>
      <c r="H27" s="66">
        <v>6703.83430504853</v>
      </c>
      <c r="I27" s="66">
        <v>8549.2263546413596</v>
      </c>
      <c r="J27" s="74">
        <v>6832.6156512181597</v>
      </c>
      <c r="K27" s="67">
        <v>6423.6119163550702</v>
      </c>
      <c r="L27" s="53"/>
      <c r="M27" s="56">
        <v>5402.1805667438693</v>
      </c>
      <c r="N27" s="66">
        <v>5852.3554200040699</v>
      </c>
      <c r="O27" s="66">
        <v>6651.1424604815802</v>
      </c>
      <c r="P27" s="66">
        <v>6161.5763257195395</v>
      </c>
      <c r="Q27" s="66">
        <v>6482.2195450565905</v>
      </c>
      <c r="R27" s="66">
        <v>6725.8242194938002</v>
      </c>
      <c r="S27" s="66">
        <v>8599.7035784522086</v>
      </c>
      <c r="T27" s="74">
        <v>6861.7998769804499</v>
      </c>
      <c r="U27" s="67">
        <v>6458.0002478243705</v>
      </c>
    </row>
    <row r="28" spans="1:21" s="28" customFormat="1" ht="12.75" x14ac:dyDescent="0.2">
      <c r="A28" s="43" t="str">
        <f>VLOOKUP("&lt;Zeilentitel_13&gt;",Uebersetzungen!$B$3:$E$60,Uebersetzungen!$B$2+1,FALSE)</f>
        <v>Basel-Stadt</v>
      </c>
      <c r="B28" s="34"/>
      <c r="C28" s="56">
        <v>26361.445208851001</v>
      </c>
      <c r="D28" s="66">
        <v>28652.486476676499</v>
      </c>
      <c r="E28" s="66">
        <v>30135.575035708</v>
      </c>
      <c r="F28" s="66">
        <v>34055.413914279001</v>
      </c>
      <c r="G28" s="66">
        <v>31465.673762860501</v>
      </c>
      <c r="H28" s="66">
        <v>34393.146082750703</v>
      </c>
      <c r="I28" s="66">
        <v>40749.683838484299</v>
      </c>
      <c r="J28" s="74">
        <v>45900.863098256603</v>
      </c>
      <c r="K28" s="67">
        <v>50771.667234808898</v>
      </c>
      <c r="L28" s="53"/>
      <c r="M28" s="56">
        <v>26612.7747467681</v>
      </c>
      <c r="N28" s="66">
        <v>28895.285866812101</v>
      </c>
      <c r="O28" s="66">
        <v>30340.8501808621</v>
      </c>
      <c r="P28" s="66">
        <v>34160.3027447817</v>
      </c>
      <c r="Q28" s="66">
        <v>31732.059794601399</v>
      </c>
      <c r="R28" s="66">
        <v>34687.064627996595</v>
      </c>
      <c r="S28" s="66">
        <v>41105.8012360336</v>
      </c>
      <c r="T28" s="74">
        <v>46267.752405454899</v>
      </c>
      <c r="U28" s="67">
        <v>50952.698090974998</v>
      </c>
    </row>
    <row r="29" spans="1:21" s="28" customFormat="1" ht="12.75" x14ac:dyDescent="0.2">
      <c r="A29" s="42" t="str">
        <f>VLOOKUP("&lt;Zeilentitel_16&gt;",Uebersetzungen!$B$3:$E$60,Uebersetzungen!$B$2+1,FALSE)</f>
        <v>Zürich</v>
      </c>
      <c r="B29" s="34"/>
      <c r="C29" s="55">
        <v>34607.097838044698</v>
      </c>
      <c r="D29" s="64">
        <v>35713.096903170197</v>
      </c>
      <c r="E29" s="64">
        <v>37709.556253661198</v>
      </c>
      <c r="F29" s="64">
        <v>37954.050285746904</v>
      </c>
      <c r="G29" s="64">
        <v>34118.3622400288</v>
      </c>
      <c r="H29" s="64">
        <v>36628.996497412903</v>
      </c>
      <c r="I29" s="64">
        <v>42550.7615076</v>
      </c>
      <c r="J29" s="73">
        <v>39378.040562026101</v>
      </c>
      <c r="K29" s="65">
        <v>37629.121266597096</v>
      </c>
      <c r="L29" s="51"/>
      <c r="M29" s="55">
        <v>44403.149740615096</v>
      </c>
      <c r="N29" s="64">
        <v>46121.643379141096</v>
      </c>
      <c r="O29" s="64">
        <v>52508.603939858906</v>
      </c>
      <c r="P29" s="64">
        <v>48671.427345828</v>
      </c>
      <c r="Q29" s="64">
        <v>50777.669391810203</v>
      </c>
      <c r="R29" s="64">
        <v>65820.177452254793</v>
      </c>
      <c r="S29" s="64">
        <v>63162.122228169501</v>
      </c>
      <c r="T29" s="73">
        <v>60805.472158672404</v>
      </c>
      <c r="U29" s="65">
        <v>58105.271037292296</v>
      </c>
    </row>
    <row r="30" spans="1:21" s="28" customFormat="1" ht="12.75" x14ac:dyDescent="0.2">
      <c r="A30" s="43" t="str">
        <f>VLOOKUP("&lt;Zeilentitel_16&gt;",Uebersetzungen!$B$3:$E$60,Uebersetzungen!$B$2+1,FALSE)</f>
        <v>Zürich</v>
      </c>
      <c r="B30" s="34"/>
      <c r="C30" s="56">
        <v>34607.097838044603</v>
      </c>
      <c r="D30" s="66">
        <v>35713.096903170801</v>
      </c>
      <c r="E30" s="66">
        <v>37709.556253662595</v>
      </c>
      <c r="F30" s="66">
        <v>37954.050285747297</v>
      </c>
      <c r="G30" s="66">
        <v>34118.362240028502</v>
      </c>
      <c r="H30" s="66">
        <v>36628.996497416098</v>
      </c>
      <c r="I30" s="66">
        <v>42550.761507597395</v>
      </c>
      <c r="J30" s="74">
        <v>39378.040562025803</v>
      </c>
      <c r="K30" s="67">
        <v>37629.121266596398</v>
      </c>
      <c r="L30" s="51"/>
      <c r="M30" s="56">
        <v>44403.149740614601</v>
      </c>
      <c r="N30" s="66">
        <v>46121.643379140798</v>
      </c>
      <c r="O30" s="66">
        <v>52508.603939856999</v>
      </c>
      <c r="P30" s="66">
        <v>48671.427345829303</v>
      </c>
      <c r="Q30" s="66">
        <v>50777.669391811498</v>
      </c>
      <c r="R30" s="66">
        <v>65820.177452253905</v>
      </c>
      <c r="S30" s="66">
        <v>63162.122228169195</v>
      </c>
      <c r="T30" s="74">
        <v>60805.472158670404</v>
      </c>
      <c r="U30" s="67">
        <v>58105.271037298204</v>
      </c>
    </row>
    <row r="31" spans="1:21" s="28" customFormat="1" ht="12.75" x14ac:dyDescent="0.2">
      <c r="A31" s="42" t="str">
        <f>VLOOKUP("&lt;Zeilentitel_17&gt;",Uebersetzungen!$B$3:$E$60,Uebersetzungen!$B$2+1,FALSE)</f>
        <v>Ostschweiz</v>
      </c>
      <c r="B31" s="34"/>
      <c r="C31" s="55">
        <v>16432.185463231501</v>
      </c>
      <c r="D31" s="64">
        <v>17914.053855514801</v>
      </c>
      <c r="E31" s="64">
        <v>19333.763188273399</v>
      </c>
      <c r="F31" s="64">
        <v>18903.9419758601</v>
      </c>
      <c r="G31" s="64">
        <v>17724.1287349513</v>
      </c>
      <c r="H31" s="64">
        <v>20317.124612448897</v>
      </c>
      <c r="I31" s="64">
        <v>22774.071994307498</v>
      </c>
      <c r="J31" s="73">
        <v>20514.301987774397</v>
      </c>
      <c r="K31" s="65">
        <v>19943.443919334302</v>
      </c>
      <c r="L31" s="51"/>
      <c r="M31" s="55">
        <v>16779.913913261</v>
      </c>
      <c r="N31" s="64">
        <v>18270.449299105301</v>
      </c>
      <c r="O31" s="64">
        <v>19630.019748836898</v>
      </c>
      <c r="P31" s="64">
        <v>19151.477723399399</v>
      </c>
      <c r="Q31" s="64">
        <v>17998.269934264801</v>
      </c>
      <c r="R31" s="64">
        <v>20771.2970154008</v>
      </c>
      <c r="S31" s="64">
        <v>23463.7327621002</v>
      </c>
      <c r="T31" s="73">
        <v>20946.054613041601</v>
      </c>
      <c r="U31" s="65">
        <v>20178.580879321999</v>
      </c>
    </row>
    <row r="32" spans="1:21" s="28" customFormat="1" ht="12.75" x14ac:dyDescent="0.2">
      <c r="A32" s="43" t="str">
        <f>VLOOKUP("&lt;Zeilentitel_21&gt;",Uebersetzungen!$B$3:$E$60,Uebersetzungen!$B$2+1,FALSE)</f>
        <v>Appenzell Innerrhoden</v>
      </c>
      <c r="B32" s="34"/>
      <c r="C32" s="56">
        <v>167.19996846346598</v>
      </c>
      <c r="D32" s="66">
        <v>178.58440827051498</v>
      </c>
      <c r="E32" s="66">
        <v>200.448411820827</v>
      </c>
      <c r="F32" s="66">
        <v>203.24126225091601</v>
      </c>
      <c r="G32" s="66">
        <v>214.199500462662</v>
      </c>
      <c r="H32" s="66">
        <v>262.82269955949198</v>
      </c>
      <c r="I32" s="66">
        <v>330.63460989081904</v>
      </c>
      <c r="J32" s="74">
        <v>311.66435701379504</v>
      </c>
      <c r="K32" s="67">
        <v>365.84890167500402</v>
      </c>
      <c r="L32" s="54"/>
      <c r="M32" s="56">
        <v>167.72802444529398</v>
      </c>
      <c r="N32" s="66">
        <v>179.69163455544998</v>
      </c>
      <c r="O32" s="66">
        <v>201.95463487075202</v>
      </c>
      <c r="P32" s="66">
        <v>203.827572525112</v>
      </c>
      <c r="Q32" s="66">
        <v>214.509106733067</v>
      </c>
      <c r="R32" s="66">
        <v>267.49830203826002</v>
      </c>
      <c r="S32" s="66">
        <v>331.18768077273899</v>
      </c>
      <c r="T32" s="74">
        <v>313.25063700448402</v>
      </c>
      <c r="U32" s="67">
        <v>366.98906009282001</v>
      </c>
    </row>
    <row r="33" spans="1:21" s="28" customFormat="1" ht="12.75" x14ac:dyDescent="0.2">
      <c r="A33" s="43" t="str">
        <f>VLOOKUP("&lt;Zeilentitel_20&gt;",Uebersetzungen!$B$3:$E$60,Uebersetzungen!$B$2+1,FALSE)</f>
        <v>Appenzell Ausserrhoden</v>
      </c>
      <c r="B33" s="34"/>
      <c r="C33" s="56">
        <v>467.14888161226702</v>
      </c>
      <c r="D33" s="66">
        <v>493.02765512894399</v>
      </c>
      <c r="E33" s="66">
        <v>539.75545193496896</v>
      </c>
      <c r="F33" s="66">
        <v>486.20027277884697</v>
      </c>
      <c r="G33" s="66">
        <v>455.384513352623</v>
      </c>
      <c r="H33" s="66">
        <v>486.61858124501504</v>
      </c>
      <c r="I33" s="66">
        <v>569.12800470070101</v>
      </c>
      <c r="J33" s="74">
        <v>480.75261035749503</v>
      </c>
      <c r="K33" s="67">
        <v>440.44134086250301</v>
      </c>
      <c r="L33" s="53"/>
      <c r="M33" s="56">
        <v>471.77131530402102</v>
      </c>
      <c r="N33" s="66">
        <v>506.21118628328901</v>
      </c>
      <c r="O33" s="66">
        <v>542.21839145604395</v>
      </c>
      <c r="P33" s="66">
        <v>490.022927032871</v>
      </c>
      <c r="Q33" s="66">
        <v>462.89110249649798</v>
      </c>
      <c r="R33" s="66">
        <v>493.08324323157797</v>
      </c>
      <c r="S33" s="66">
        <v>575.84595606938808</v>
      </c>
      <c r="T33" s="74">
        <v>492.09419306118201</v>
      </c>
      <c r="U33" s="67">
        <v>444.56881474939797</v>
      </c>
    </row>
    <row r="34" spans="1:21" s="28" customFormat="1" ht="12.75" x14ac:dyDescent="0.2">
      <c r="A34" s="43" t="str">
        <f>VLOOKUP("&lt;Zeilentitel_18&gt;",Uebersetzungen!$B$3:$E$60,Uebersetzungen!$B$2+1,FALSE)</f>
        <v>Glarus</v>
      </c>
      <c r="B34" s="34"/>
      <c r="C34" s="56">
        <v>559.64381473166804</v>
      </c>
      <c r="D34" s="66">
        <v>585.43365620721602</v>
      </c>
      <c r="E34" s="66">
        <v>613.86313862882105</v>
      </c>
      <c r="F34" s="66">
        <v>569.67452617700394</v>
      </c>
      <c r="G34" s="66">
        <v>536.32429648504103</v>
      </c>
      <c r="H34" s="66">
        <v>590.69232887800001</v>
      </c>
      <c r="I34" s="66">
        <v>684.01662258839292</v>
      </c>
      <c r="J34" s="74">
        <v>653.16526637838103</v>
      </c>
      <c r="K34" s="67">
        <v>592.18611814266603</v>
      </c>
      <c r="L34" s="53"/>
      <c r="M34" s="56">
        <v>563.37285192884008</v>
      </c>
      <c r="N34" s="66">
        <v>594.69085121688704</v>
      </c>
      <c r="O34" s="66">
        <v>615.791116329376</v>
      </c>
      <c r="P34" s="66">
        <v>576.32164849515107</v>
      </c>
      <c r="Q34" s="66">
        <v>536.36200682446702</v>
      </c>
      <c r="R34" s="66">
        <v>590.79990570910502</v>
      </c>
      <c r="S34" s="66">
        <v>690.03990765352796</v>
      </c>
      <c r="T34" s="74">
        <v>659.14398492348698</v>
      </c>
      <c r="U34" s="67">
        <v>593.959885027523</v>
      </c>
    </row>
    <row r="35" spans="1:21" s="28" customFormat="1" ht="12.75" x14ac:dyDescent="0.2">
      <c r="A35" s="47" t="str">
        <f>VLOOKUP("&lt;Zeilentitel_23&gt;",Uebersetzungen!$B$3:$E$60,Uebersetzungen!$B$2+1,FALSE)</f>
        <v>Graubünden</v>
      </c>
      <c r="B35" s="34"/>
      <c r="C35" s="57">
        <v>1948.5228609221101</v>
      </c>
      <c r="D35" s="68">
        <v>2108.7809045195499</v>
      </c>
      <c r="E35" s="68">
        <v>2301.5619870152</v>
      </c>
      <c r="F35" s="68">
        <v>2107.9350045924202</v>
      </c>
      <c r="G35" s="68">
        <v>1894.19307521106</v>
      </c>
      <c r="H35" s="68">
        <v>2224.0981476329898</v>
      </c>
      <c r="I35" s="68">
        <v>2488.0164612942299</v>
      </c>
      <c r="J35" s="75">
        <v>2191.3622195511498</v>
      </c>
      <c r="K35" s="69">
        <v>2103.4347905159298</v>
      </c>
      <c r="L35" s="53"/>
      <c r="M35" s="57">
        <v>2041.5819015802099</v>
      </c>
      <c r="N35" s="68">
        <v>2171.2153632234904</v>
      </c>
      <c r="O35" s="68">
        <v>2387.4303523566</v>
      </c>
      <c r="P35" s="68">
        <v>2177.6245257738301</v>
      </c>
      <c r="Q35" s="68">
        <v>1975.4185034705501</v>
      </c>
      <c r="R35" s="68">
        <v>2372.4585108421302</v>
      </c>
      <c r="S35" s="68">
        <v>2578.81526231823</v>
      </c>
      <c r="T35" s="75">
        <v>2314.8805725536099</v>
      </c>
      <c r="U35" s="69">
        <v>2166.8958883063697</v>
      </c>
    </row>
    <row r="36" spans="1:21" s="28" customFormat="1" ht="12.75" x14ac:dyDescent="0.2">
      <c r="A36" s="43" t="str">
        <f>VLOOKUP("&lt;Zeilentitel_22&gt;",Uebersetzungen!$B$3:$E$60,Uebersetzungen!$B$2+1,FALSE)</f>
        <v>St. Gallen</v>
      </c>
      <c r="B36" s="34"/>
      <c r="C36" s="56">
        <v>7534.5447395850697</v>
      </c>
      <c r="D36" s="66">
        <v>8042.1044293095802</v>
      </c>
      <c r="E36" s="66">
        <v>8648.0936927856692</v>
      </c>
      <c r="F36" s="66">
        <v>8459.5524395757202</v>
      </c>
      <c r="G36" s="66">
        <v>8076.8088962151805</v>
      </c>
      <c r="H36" s="66">
        <v>9406.0414796480291</v>
      </c>
      <c r="I36" s="66">
        <v>10464.0121667032</v>
      </c>
      <c r="J36" s="74">
        <v>9267.7939296214299</v>
      </c>
      <c r="K36" s="67">
        <v>9033.2597480965796</v>
      </c>
      <c r="L36" s="53"/>
      <c r="M36" s="56">
        <v>7652.3243408829903</v>
      </c>
      <c r="N36" s="66">
        <v>8161.2022623237699</v>
      </c>
      <c r="O36" s="66">
        <v>8737.8534238057</v>
      </c>
      <c r="P36" s="66">
        <v>8535.1741122303101</v>
      </c>
      <c r="Q36" s="66">
        <v>8192.4974957543891</v>
      </c>
      <c r="R36" s="66">
        <v>9611.2611230155289</v>
      </c>
      <c r="S36" s="66">
        <v>10936.1029981866</v>
      </c>
      <c r="T36" s="74">
        <v>9472.1179080606998</v>
      </c>
      <c r="U36" s="67">
        <v>9129.2645756414695</v>
      </c>
    </row>
    <row r="37" spans="1:21" s="28" customFormat="1" ht="12.75" x14ac:dyDescent="0.2">
      <c r="A37" s="43" t="str">
        <f>VLOOKUP("&lt;Zeilentitel_19&gt;",Uebersetzungen!$B$3:$E$60,Uebersetzungen!$B$2+1,FALSE)</f>
        <v>Schaffhausen</v>
      </c>
      <c r="B37" s="34"/>
      <c r="C37" s="56">
        <v>2103.2996493922101</v>
      </c>
      <c r="D37" s="66">
        <v>2471.5620953930998</v>
      </c>
      <c r="E37" s="66">
        <v>2699.0274563951302</v>
      </c>
      <c r="F37" s="66">
        <v>2673.7080324133499</v>
      </c>
      <c r="G37" s="66">
        <v>2408.4977505288302</v>
      </c>
      <c r="H37" s="66">
        <v>2628.3589330125296</v>
      </c>
      <c r="I37" s="66">
        <v>2940.8040011121002</v>
      </c>
      <c r="J37" s="74">
        <v>2828.70681769358</v>
      </c>
      <c r="K37" s="67">
        <v>2749.3379151218801</v>
      </c>
      <c r="L37" s="53"/>
      <c r="M37" s="56">
        <v>2205.8749155446199</v>
      </c>
      <c r="N37" s="66">
        <v>2593.6523223286899</v>
      </c>
      <c r="O37" s="66">
        <v>2800.0328719305703</v>
      </c>
      <c r="P37" s="66">
        <v>2745.5374291149001</v>
      </c>
      <c r="Q37" s="66">
        <v>2453.5916627296801</v>
      </c>
      <c r="R37" s="66">
        <v>2692.4952072155902</v>
      </c>
      <c r="S37" s="66">
        <v>3015.4632274355204</v>
      </c>
      <c r="T37" s="74">
        <v>2874.6183349261296</v>
      </c>
      <c r="U37" s="67">
        <v>2798.3908941514201</v>
      </c>
    </row>
    <row r="38" spans="1:21" s="28" customFormat="1" ht="12.75" x14ac:dyDescent="0.2">
      <c r="A38" s="43" t="str">
        <f>VLOOKUP("&lt;Zeilentitel_24&gt;",Uebersetzungen!$B$3:$E$60,Uebersetzungen!$B$2+1,FALSE)</f>
        <v>Thurgau</v>
      </c>
      <c r="B38" s="34"/>
      <c r="C38" s="56">
        <v>3651.8255485208701</v>
      </c>
      <c r="D38" s="66">
        <v>4034.5607066862704</v>
      </c>
      <c r="E38" s="66">
        <v>4331.0130496929105</v>
      </c>
      <c r="F38" s="66">
        <v>4403.6304380716001</v>
      </c>
      <c r="G38" s="66">
        <v>4138.72070269507</v>
      </c>
      <c r="H38" s="66">
        <v>4718.4924424759902</v>
      </c>
      <c r="I38" s="66">
        <v>5297.4601280224197</v>
      </c>
      <c r="J38" s="74">
        <v>4780.8567871548403</v>
      </c>
      <c r="K38" s="67">
        <v>4658.9351049223606</v>
      </c>
      <c r="L38" s="53"/>
      <c r="M38" s="56">
        <v>3677.2605635711798</v>
      </c>
      <c r="N38" s="66">
        <v>4063.78567917585</v>
      </c>
      <c r="O38" s="66">
        <v>4344.7389580867903</v>
      </c>
      <c r="P38" s="66">
        <v>4422.9695082262206</v>
      </c>
      <c r="Q38" s="66">
        <v>4163.00005625628</v>
      </c>
      <c r="R38" s="66">
        <v>4743.7007233494996</v>
      </c>
      <c r="S38" s="66">
        <v>5336.2777296676595</v>
      </c>
      <c r="T38" s="74">
        <v>4819.9489825106493</v>
      </c>
      <c r="U38" s="67">
        <v>4678.5117613570901</v>
      </c>
    </row>
    <row r="39" spans="1:21" s="28" customFormat="1" ht="12.75" x14ac:dyDescent="0.2">
      <c r="A39" s="42" t="str">
        <f>VLOOKUP("&lt;Zeilentitel_25&gt;",Uebersetzungen!$B$3:$E$60,Uebersetzungen!$B$2+1,FALSE)</f>
        <v>Zentralschweiz</v>
      </c>
      <c r="B39" s="34"/>
      <c r="C39" s="55">
        <v>18905.073589962602</v>
      </c>
      <c r="D39" s="64">
        <v>21134.079558331599</v>
      </c>
      <c r="E39" s="64">
        <v>21571.886203199501</v>
      </c>
      <c r="F39" s="64">
        <v>21495.557736564097</v>
      </c>
      <c r="G39" s="64">
        <v>21311.980856347698</v>
      </c>
      <c r="H39" s="64">
        <v>25176.874702920501</v>
      </c>
      <c r="I39" s="64">
        <v>28031.197975722902</v>
      </c>
      <c r="J39" s="73">
        <v>26754.3612308925</v>
      </c>
      <c r="K39" s="65">
        <v>25922.939541612399</v>
      </c>
      <c r="L39" s="51"/>
      <c r="M39" s="55">
        <v>20510.745254719201</v>
      </c>
      <c r="N39" s="64">
        <v>22838.401045447299</v>
      </c>
      <c r="O39" s="64">
        <v>23398.783126532002</v>
      </c>
      <c r="P39" s="64">
        <v>23417.969505880999</v>
      </c>
      <c r="Q39" s="64">
        <v>22119.372277261602</v>
      </c>
      <c r="R39" s="64">
        <v>25622.7580841653</v>
      </c>
      <c r="S39" s="64">
        <v>29199.4695584406</v>
      </c>
      <c r="T39" s="73">
        <v>27761.893634611199</v>
      </c>
      <c r="U39" s="65">
        <v>27069.868472451599</v>
      </c>
    </row>
    <row r="40" spans="1:21" s="28" customFormat="1" ht="12.75" x14ac:dyDescent="0.2">
      <c r="A40" s="43" t="str">
        <f>VLOOKUP("&lt;Zeilentitel_26&gt;",Uebersetzungen!$B$3:$E$60,Uebersetzungen!$B$2+1,FALSE)</f>
        <v>Luzern</v>
      </c>
      <c r="B40" s="34"/>
      <c r="C40" s="56">
        <v>4955.0874157780509</v>
      </c>
      <c r="D40" s="66">
        <v>5418.9587580006</v>
      </c>
      <c r="E40" s="66">
        <v>5592.0607204253602</v>
      </c>
      <c r="F40" s="66">
        <v>5618.7609216548699</v>
      </c>
      <c r="G40" s="66">
        <v>5510.5784795312002</v>
      </c>
      <c r="H40" s="66">
        <v>6323.88204205079</v>
      </c>
      <c r="I40" s="66">
        <v>7247.5187982370298</v>
      </c>
      <c r="J40" s="74">
        <v>6255.8577852275403</v>
      </c>
      <c r="K40" s="67">
        <v>6056.2646875424807</v>
      </c>
      <c r="L40" s="53"/>
      <c r="M40" s="56">
        <v>6168.2235343195998</v>
      </c>
      <c r="N40" s="66">
        <v>6777.67204001966</v>
      </c>
      <c r="O40" s="66">
        <v>7069.2107829496099</v>
      </c>
      <c r="P40" s="66">
        <v>7003.9596427146498</v>
      </c>
      <c r="Q40" s="66">
        <v>6008.3173823572306</v>
      </c>
      <c r="R40" s="66">
        <v>6467.0788430823004</v>
      </c>
      <c r="S40" s="66">
        <v>7819.7887541370101</v>
      </c>
      <c r="T40" s="74">
        <v>6768.4651948214996</v>
      </c>
      <c r="U40" s="67">
        <v>6827.0884732486093</v>
      </c>
    </row>
    <row r="41" spans="1:21" s="28" customFormat="1" ht="12.75" x14ac:dyDescent="0.2">
      <c r="A41" s="43" t="str">
        <f>VLOOKUP("&lt;Zeilentitel_30&gt;",Uebersetzungen!$B$3:$E$60,Uebersetzungen!$B$2+1,FALSE)</f>
        <v>Nidwalden</v>
      </c>
      <c r="B41" s="34"/>
      <c r="C41" s="56">
        <v>789.26850254408703</v>
      </c>
      <c r="D41" s="66">
        <v>977.80747212048902</v>
      </c>
      <c r="E41" s="66">
        <v>1069.1574020983699</v>
      </c>
      <c r="F41" s="66">
        <v>1072.76193325281</v>
      </c>
      <c r="G41" s="66">
        <v>1040.18832254978</v>
      </c>
      <c r="H41" s="66">
        <v>1142.5405838005099</v>
      </c>
      <c r="I41" s="66">
        <v>1166.2926653608201</v>
      </c>
      <c r="J41" s="74">
        <v>1244.08100263197</v>
      </c>
      <c r="K41" s="67">
        <v>1305.36442282044</v>
      </c>
      <c r="L41" s="53"/>
      <c r="M41" s="56">
        <v>969.96256192158501</v>
      </c>
      <c r="N41" s="66">
        <v>1036.69424327455</v>
      </c>
      <c r="O41" s="66">
        <v>1178.4038466591999</v>
      </c>
      <c r="P41" s="66">
        <v>1120.35340054269</v>
      </c>
      <c r="Q41" s="66">
        <v>1109.63125983331</v>
      </c>
      <c r="R41" s="66">
        <v>1164.2242421060801</v>
      </c>
      <c r="S41" s="66">
        <v>1238.91576219741</v>
      </c>
      <c r="T41" s="74">
        <v>1286.80252441895</v>
      </c>
      <c r="U41" s="67">
        <v>1320.7129205589499</v>
      </c>
    </row>
    <row r="42" spans="1:21" s="28" customFormat="1" ht="12.75" x14ac:dyDescent="0.2">
      <c r="A42" s="43" t="str">
        <f>VLOOKUP("&lt;Zeilentitel_29&gt;",Uebersetzungen!$B$3:$E$60,Uebersetzungen!$B$2+1,FALSE)</f>
        <v>Obwalden</v>
      </c>
      <c r="B42" s="34"/>
      <c r="C42" s="56">
        <v>419.77746470854697</v>
      </c>
      <c r="D42" s="66">
        <v>669.54872735346999</v>
      </c>
      <c r="E42" s="66">
        <v>494.084135219904</v>
      </c>
      <c r="F42" s="66">
        <v>468.09480738220697</v>
      </c>
      <c r="G42" s="66">
        <v>465.59200947811104</v>
      </c>
      <c r="H42" s="66">
        <v>572.71285713797602</v>
      </c>
      <c r="I42" s="66">
        <v>585.85104363757205</v>
      </c>
      <c r="J42" s="74">
        <v>494.23766466445397</v>
      </c>
      <c r="K42" s="67">
        <v>449.35327974616405</v>
      </c>
      <c r="L42" s="53"/>
      <c r="M42" s="56">
        <v>433.00335139562702</v>
      </c>
      <c r="N42" s="66">
        <v>685.20795449756201</v>
      </c>
      <c r="O42" s="66">
        <v>502.44984143028302</v>
      </c>
      <c r="P42" s="66">
        <v>474.42298261902204</v>
      </c>
      <c r="Q42" s="66">
        <v>474.87794098246803</v>
      </c>
      <c r="R42" s="66">
        <v>581.71677276770902</v>
      </c>
      <c r="S42" s="66">
        <v>597.18906398818899</v>
      </c>
      <c r="T42" s="74">
        <v>503.36693754820902</v>
      </c>
      <c r="U42" s="67">
        <v>453.35779428078303</v>
      </c>
    </row>
    <row r="43" spans="1:21" s="28" customFormat="1" ht="12.75" x14ac:dyDescent="0.2">
      <c r="A43" s="43" t="str">
        <f>VLOOKUP("&lt;Zeilentitel_28&gt;",Uebersetzungen!$B$3:$E$60,Uebersetzungen!$B$2+1,FALSE)</f>
        <v>Schwyz</v>
      </c>
      <c r="B43" s="34"/>
      <c r="C43" s="56">
        <v>1635.1131086395098</v>
      </c>
      <c r="D43" s="66">
        <v>1693.4653370288199</v>
      </c>
      <c r="E43" s="66">
        <v>1771.86001048599</v>
      </c>
      <c r="F43" s="66">
        <v>1637.0567930582999</v>
      </c>
      <c r="G43" s="66">
        <v>1625.57938043525</v>
      </c>
      <c r="H43" s="66">
        <v>1834.8022689137299</v>
      </c>
      <c r="I43" s="66">
        <v>2020.8520465249401</v>
      </c>
      <c r="J43" s="74">
        <v>1844.73667630828</v>
      </c>
      <c r="K43" s="67">
        <v>1809.91406585198</v>
      </c>
      <c r="L43" s="53"/>
      <c r="M43" s="56">
        <v>1645.9049925957502</v>
      </c>
      <c r="N43" s="66">
        <v>1708.34648126921</v>
      </c>
      <c r="O43" s="66">
        <v>1797.81052357002</v>
      </c>
      <c r="P43" s="66">
        <v>1660.99188275508</v>
      </c>
      <c r="Q43" s="66">
        <v>1645.6813274705</v>
      </c>
      <c r="R43" s="66">
        <v>1853.8667321155801</v>
      </c>
      <c r="S43" s="66">
        <v>2059.4205616833501</v>
      </c>
      <c r="T43" s="74">
        <v>1873.1953266784501</v>
      </c>
      <c r="U43" s="67">
        <v>1826.6676325840499</v>
      </c>
    </row>
    <row r="44" spans="1:21" s="28" customFormat="1" ht="12.75" x14ac:dyDescent="0.2">
      <c r="A44" s="43" t="str">
        <f>VLOOKUP("&lt;Zeilentitel_27&gt;",Uebersetzungen!$B$3:$E$60,Uebersetzungen!$B$2+1,FALSE)</f>
        <v>Uri</v>
      </c>
      <c r="B44" s="34"/>
      <c r="C44" s="56">
        <v>376.03681726337999</v>
      </c>
      <c r="D44" s="66">
        <v>420.04636246768399</v>
      </c>
      <c r="E44" s="66">
        <v>455.125946737427</v>
      </c>
      <c r="F44" s="66">
        <v>448.76389239229701</v>
      </c>
      <c r="G44" s="66">
        <v>411.08100701828602</v>
      </c>
      <c r="H44" s="66">
        <v>499.71186802377997</v>
      </c>
      <c r="I44" s="66">
        <v>483.35548923161298</v>
      </c>
      <c r="J44" s="74">
        <v>441.661164261176</v>
      </c>
      <c r="K44" s="67">
        <v>475.776554877622</v>
      </c>
      <c r="L44" s="53"/>
      <c r="M44" s="56">
        <v>381.18914513238104</v>
      </c>
      <c r="N44" s="66">
        <v>425.00732351471197</v>
      </c>
      <c r="O44" s="66">
        <v>456.42578196558401</v>
      </c>
      <c r="P44" s="66">
        <v>450.27817860099401</v>
      </c>
      <c r="Q44" s="66">
        <v>412.87218997030095</v>
      </c>
      <c r="R44" s="66">
        <v>500.21528051687801</v>
      </c>
      <c r="S44" s="66">
        <v>492.73350950045</v>
      </c>
      <c r="T44" s="74">
        <v>443.52131806072703</v>
      </c>
      <c r="U44" s="67">
        <v>477.45702422830601</v>
      </c>
    </row>
    <row r="45" spans="1:21" s="28" customFormat="1" ht="12.75" x14ac:dyDescent="0.2">
      <c r="A45" s="43" t="str">
        <f>VLOOKUP("&lt;Zeilentitel_31&gt;",Uebersetzungen!$B$3:$E$60,Uebersetzungen!$B$2+1,FALSE)</f>
        <v>Zug</v>
      </c>
      <c r="B45" s="34"/>
      <c r="C45" s="56">
        <v>10729.790281025</v>
      </c>
      <c r="D45" s="66">
        <v>11954.252901359199</v>
      </c>
      <c r="E45" s="66">
        <v>12189.597988233101</v>
      </c>
      <c r="F45" s="66">
        <v>12250.119388822799</v>
      </c>
      <c r="G45" s="66">
        <v>12258.9616573326</v>
      </c>
      <c r="H45" s="66">
        <v>14803.2250829942</v>
      </c>
      <c r="I45" s="66">
        <v>16527.327932731499</v>
      </c>
      <c r="J45" s="74">
        <v>16473.7869378</v>
      </c>
      <c r="K45" s="67">
        <v>15826.266530774901</v>
      </c>
      <c r="L45" s="53"/>
      <c r="M45" s="56">
        <v>10912.461669350299</v>
      </c>
      <c r="N45" s="66">
        <v>12205.4730028704</v>
      </c>
      <c r="O45" s="66">
        <v>12394.4823499594</v>
      </c>
      <c r="P45" s="66">
        <v>12707.963418649599</v>
      </c>
      <c r="Q45" s="66">
        <v>12467.992176646199</v>
      </c>
      <c r="R45" s="66">
        <v>15055.6562135769</v>
      </c>
      <c r="S45" s="66">
        <v>16991.4219069338</v>
      </c>
      <c r="T45" s="74">
        <v>16886.542333084901</v>
      </c>
      <c r="U45" s="67">
        <v>16164.584627552798</v>
      </c>
    </row>
    <row r="46" spans="1:21" s="28" customFormat="1" ht="12.75" x14ac:dyDescent="0.2">
      <c r="A46" s="42" t="str">
        <f>VLOOKUP("&lt;Zeilentitel_32&gt;",Uebersetzungen!$B$3:$E$60,Uebersetzungen!$B$2+1,FALSE)</f>
        <v>Tessin</v>
      </c>
      <c r="B46" s="34"/>
      <c r="C46" s="55">
        <v>7105.3913040469506</v>
      </c>
      <c r="D46" s="64">
        <v>8920.0390279519288</v>
      </c>
      <c r="E46" s="64">
        <v>12864.038992744199</v>
      </c>
      <c r="F46" s="64">
        <v>14775.767159326</v>
      </c>
      <c r="G46" s="64">
        <v>9076.0537224578602</v>
      </c>
      <c r="H46" s="64">
        <v>6562.5935734514596</v>
      </c>
      <c r="I46" s="64">
        <v>7228.3903208906604</v>
      </c>
      <c r="J46" s="73">
        <v>7090.0580215435002</v>
      </c>
      <c r="K46" s="65">
        <v>6872.59783816854</v>
      </c>
      <c r="L46" s="51"/>
      <c r="M46" s="55">
        <v>53609.5642454755</v>
      </c>
      <c r="N46" s="64">
        <v>44694.755031168002</v>
      </c>
      <c r="O46" s="64">
        <v>36251.087253249003</v>
      </c>
      <c r="P46" s="64">
        <v>41654.575884148697</v>
      </c>
      <c r="Q46" s="64">
        <v>46501.3621854636</v>
      </c>
      <c r="R46" s="64">
        <v>47319.318609438502</v>
      </c>
      <c r="S46" s="64">
        <v>57660.114537687798</v>
      </c>
      <c r="T46" s="73">
        <v>54658.661682690596</v>
      </c>
      <c r="U46" s="65">
        <v>57995.985601006498</v>
      </c>
    </row>
    <row r="47" spans="1:21" s="28" customFormat="1" ht="12.75" x14ac:dyDescent="0.2">
      <c r="A47" s="43" t="str">
        <f>VLOOKUP("&lt;Zeilentitel_32&gt;",Uebersetzungen!$B$3:$E$60,Uebersetzungen!$B$2+1,FALSE)</f>
        <v>Tessin</v>
      </c>
      <c r="B47" s="34"/>
      <c r="C47" s="56">
        <v>7105.3913040469506</v>
      </c>
      <c r="D47" s="66">
        <v>8920.0390279518106</v>
      </c>
      <c r="E47" s="66">
        <v>12864.038992744499</v>
      </c>
      <c r="F47" s="66">
        <v>14775.767159325898</v>
      </c>
      <c r="G47" s="66">
        <v>9076.0537224578311</v>
      </c>
      <c r="H47" s="66">
        <v>6562.5935734512304</v>
      </c>
      <c r="I47" s="66">
        <v>7228.3903208906895</v>
      </c>
      <c r="J47" s="74">
        <v>7090.0580215435693</v>
      </c>
      <c r="K47" s="67">
        <v>6872.5978381689101</v>
      </c>
      <c r="L47" s="53"/>
      <c r="M47" s="56">
        <v>53609.5642454755</v>
      </c>
      <c r="N47" s="66">
        <v>44694.755031166605</v>
      </c>
      <c r="O47" s="66">
        <v>36251.0872532516</v>
      </c>
      <c r="P47" s="66">
        <v>41654.575884146303</v>
      </c>
      <c r="Q47" s="66">
        <v>46501.362185462</v>
      </c>
      <c r="R47" s="66">
        <v>47319.318609437498</v>
      </c>
      <c r="S47" s="66">
        <v>57660.114537688401</v>
      </c>
      <c r="T47" s="74">
        <v>54658.6616826928</v>
      </c>
      <c r="U47" s="67">
        <v>57995.985601006105</v>
      </c>
    </row>
    <row r="48" spans="1:21" s="28" customFormat="1" ht="12.75" x14ac:dyDescent="0.2">
      <c r="A48" s="42" t="str">
        <f>VLOOKUP("&lt;Zeilentitel_33&gt;",Uebersetzungen!$B$3:$E$60,Uebersetzungen!$B$2+1,FALSE)</f>
        <v>Region nicht spezifiziert**</v>
      </c>
      <c r="B48" s="34"/>
      <c r="C48" s="55">
        <v>5389.2705987269701</v>
      </c>
      <c r="D48" s="64">
        <v>5077.9169460000003</v>
      </c>
      <c r="E48" s="64">
        <v>5250.7624390000001</v>
      </c>
      <c r="F48" s="64">
        <v>4712.3969550000002</v>
      </c>
      <c r="G48" s="64">
        <v>4579.1999040000001</v>
      </c>
      <c r="H48" s="64">
        <v>5169.7978050000002</v>
      </c>
      <c r="I48" s="64">
        <v>5030.0689000000002</v>
      </c>
      <c r="J48" s="73">
        <v>5157.053868</v>
      </c>
      <c r="K48" s="65">
        <v>6003.2409580000003</v>
      </c>
      <c r="L48" s="53"/>
      <c r="M48" s="55">
        <v>6712.7152327269696</v>
      </c>
      <c r="N48" s="64">
        <v>7016.5024880000001</v>
      </c>
      <c r="O48" s="64">
        <v>8749.0807769999992</v>
      </c>
      <c r="P48" s="64">
        <v>6261.4068729999999</v>
      </c>
      <c r="Q48" s="64">
        <v>6906.8447539999997</v>
      </c>
      <c r="R48" s="64">
        <v>8835.6167310000001</v>
      </c>
      <c r="S48" s="64">
        <v>11999.831436</v>
      </c>
      <c r="T48" s="73">
        <v>15366.525774</v>
      </c>
      <c r="U48" s="65">
        <v>13352.467905</v>
      </c>
    </row>
    <row r="49" spans="1:21" s="28" customFormat="1" ht="12.75" x14ac:dyDescent="0.2">
      <c r="A49" s="43" t="str">
        <f>VLOOKUP("&lt;Zeilentitel_34&gt;",Uebersetzungen!$B$3:$E$60,Uebersetzungen!$B$2+1,FALSE)</f>
        <v>Fürstentum Liechtenstein</v>
      </c>
      <c r="B49" s="34"/>
      <c r="C49" s="56">
        <v>1853.3598207269699</v>
      </c>
      <c r="D49" s="66">
        <v>1900.1362919999999</v>
      </c>
      <c r="E49" s="66">
        <v>1950.401486</v>
      </c>
      <c r="F49" s="66">
        <v>1884.585568</v>
      </c>
      <c r="G49" s="66">
        <v>1577.3365550000001</v>
      </c>
      <c r="H49" s="66">
        <v>1767.856008</v>
      </c>
      <c r="I49" s="66">
        <v>1774.538149</v>
      </c>
      <c r="J49" s="74">
        <v>1568.736488</v>
      </c>
      <c r="K49" s="67">
        <v>1534.254682</v>
      </c>
      <c r="L49" s="53"/>
      <c r="M49" s="56">
        <v>1952.4697537269699</v>
      </c>
      <c r="N49" s="66">
        <v>1974.2123939999999</v>
      </c>
      <c r="O49" s="66">
        <v>2007.7239890000001</v>
      </c>
      <c r="P49" s="66">
        <v>1990.206823</v>
      </c>
      <c r="Q49" s="66">
        <v>1651.306343</v>
      </c>
      <c r="R49" s="66">
        <v>1858.6688380000001</v>
      </c>
      <c r="S49" s="66">
        <v>1911.9498470000001</v>
      </c>
      <c r="T49" s="74">
        <v>1910.7480619999999</v>
      </c>
      <c r="U49" s="67">
        <v>1725.315959</v>
      </c>
    </row>
    <row r="50" spans="1:21" s="28" customFormat="1" ht="13.5" thickBot="1" x14ac:dyDescent="0.25">
      <c r="A50" s="44" t="str">
        <f>VLOOKUP("&lt;Zeilentitel_35&gt;",Uebersetzungen!$B$3:$E$60,Uebersetzungen!$B$2+1,FALSE)</f>
        <v>Kanton nicht spezifiziert</v>
      </c>
      <c r="B50" s="34"/>
      <c r="C50" s="58">
        <v>3535.9107779999999</v>
      </c>
      <c r="D50" s="70">
        <v>3177.7806540000001</v>
      </c>
      <c r="E50" s="70">
        <v>3300.3609529999999</v>
      </c>
      <c r="F50" s="70">
        <v>2827.8113870000002</v>
      </c>
      <c r="G50" s="70">
        <v>3001.8633490000002</v>
      </c>
      <c r="H50" s="70">
        <v>3401.941797</v>
      </c>
      <c r="I50" s="70">
        <v>3255.5307509999998</v>
      </c>
      <c r="J50" s="76">
        <v>3588.31738</v>
      </c>
      <c r="K50" s="71">
        <v>4468.9862759999996</v>
      </c>
      <c r="L50" s="51"/>
      <c r="M50" s="58">
        <v>4760.2454790000002</v>
      </c>
      <c r="N50" s="70">
        <v>5042.290094</v>
      </c>
      <c r="O50" s="70">
        <v>6741.3567880000001</v>
      </c>
      <c r="P50" s="70">
        <v>4271.2000500000004</v>
      </c>
      <c r="Q50" s="70">
        <v>5255.5384110000005</v>
      </c>
      <c r="R50" s="70">
        <v>6976.9478929999996</v>
      </c>
      <c r="S50" s="70">
        <v>10087.881589000001</v>
      </c>
      <c r="T50" s="76">
        <v>13455.777711999999</v>
      </c>
      <c r="U50" s="71">
        <v>11627.151946</v>
      </c>
    </row>
    <row r="51" spans="1:21" s="28" customFormat="1" ht="12.75" x14ac:dyDescent="0.2">
      <c r="A51" s="36"/>
      <c r="B51" s="34"/>
      <c r="C51" s="13"/>
      <c r="D51" s="13"/>
      <c r="E51" s="13"/>
      <c r="F51" s="13"/>
      <c r="G51" s="13"/>
      <c r="H51" s="13"/>
      <c r="I51" s="13"/>
      <c r="J51" s="13"/>
      <c r="K51" s="13"/>
      <c r="L51" s="51"/>
      <c r="M51" s="13"/>
      <c r="N51" s="13"/>
      <c r="O51" s="13"/>
      <c r="P51" s="13"/>
      <c r="Q51" s="13"/>
      <c r="R51" s="13"/>
      <c r="S51" s="13"/>
      <c r="T51" s="13"/>
    </row>
    <row r="52" spans="1:21" s="28" customFormat="1" ht="12.75" x14ac:dyDescent="0.2">
      <c r="A52" s="60" t="str">
        <f>VLOOKUP("&lt;Legende_1&gt;",Uebersetzungen!$B$3:$E$326,Uebersetzungen!$B$2+1,FALSE)</f>
        <v>* ohne Edelmetalle, Edel- und Schmucksteine, Kunstgegenstände und Antiquitäten</v>
      </c>
      <c r="B52" s="34"/>
      <c r="C52" s="13"/>
      <c r="D52" s="13"/>
      <c r="E52" s="13"/>
      <c r="F52" s="13"/>
      <c r="G52" s="13"/>
      <c r="H52" s="13"/>
      <c r="I52" s="13"/>
      <c r="J52" s="13"/>
      <c r="K52" s="13"/>
      <c r="L52" s="51"/>
      <c r="M52" s="13"/>
      <c r="N52" s="13"/>
      <c r="O52" s="13"/>
      <c r="P52" s="13"/>
      <c r="Q52" s="13"/>
      <c r="R52" s="13"/>
      <c r="S52" s="13"/>
      <c r="T52" s="13"/>
    </row>
    <row r="53" spans="1:21" s="28" customFormat="1" ht="12.75" x14ac:dyDescent="0.2">
      <c r="A53" s="60" t="str">
        <f>VLOOKUP("&lt;Legende_2&gt;",Uebersetzungen!$B$3:$E$326,Uebersetzungen!$B$2+1,FALSE)</f>
        <v>** Die nicht-spezifizierte Region enthält Fürstentum Liechtenstein und den nicht-spezifizierten Kanton</v>
      </c>
      <c r="B53" s="34"/>
      <c r="C53" s="13"/>
      <c r="D53" s="13"/>
      <c r="E53" s="13"/>
      <c r="F53" s="13"/>
      <c r="G53" s="13"/>
      <c r="H53" s="13"/>
      <c r="I53" s="13"/>
      <c r="J53" s="13"/>
      <c r="K53" s="13"/>
      <c r="L53" s="51"/>
      <c r="M53" s="13"/>
      <c r="N53" s="13"/>
      <c r="O53" s="13"/>
      <c r="P53" s="13"/>
      <c r="Q53" s="13"/>
      <c r="R53" s="13"/>
      <c r="S53" s="13"/>
      <c r="T53" s="13"/>
    </row>
    <row r="54" spans="1:21" s="28" customFormat="1" ht="12.75" x14ac:dyDescent="0.2">
      <c r="A54" s="5"/>
      <c r="B54" s="40"/>
      <c r="C54" s="6"/>
      <c r="D54" s="7"/>
      <c r="E54" s="7"/>
      <c r="F54" s="7"/>
      <c r="G54" s="7"/>
      <c r="H54" s="7"/>
      <c r="I54" s="7"/>
      <c r="J54" s="7"/>
      <c r="K54" s="7"/>
      <c r="L54" s="40"/>
      <c r="M54" s="6"/>
      <c r="N54" s="7"/>
      <c r="O54" s="7"/>
      <c r="P54" s="7"/>
      <c r="Q54" s="7"/>
      <c r="R54" s="7"/>
      <c r="S54" s="7"/>
      <c r="T54" s="7"/>
    </row>
    <row r="55" spans="1:21" s="28" customFormat="1" ht="12.75" x14ac:dyDescent="0.2">
      <c r="A55" s="9" t="str">
        <f>VLOOKUP("&lt;quelle_1&gt;",Uebersetzungen!$B$3:$E$60,Uebersetzungen!$B$2+1,FALSE)</f>
        <v>Quelle: Eidgenössische Zollverwaltung (Aussenhandelsstatistik)</v>
      </c>
      <c r="B55" s="39"/>
      <c r="C55" s="8"/>
      <c r="D55" s="8"/>
      <c r="E55" s="8"/>
      <c r="F55" s="8"/>
      <c r="G55" s="8"/>
      <c r="H55" s="8"/>
      <c r="I55" s="8"/>
      <c r="J55" s="8"/>
      <c r="K55" s="8"/>
      <c r="L55" s="39"/>
      <c r="M55" s="8"/>
      <c r="N55" s="8"/>
      <c r="O55" s="8"/>
      <c r="P55" s="8"/>
      <c r="Q55" s="8"/>
      <c r="R55" s="8"/>
      <c r="S55" s="8"/>
      <c r="T55" s="8"/>
    </row>
    <row r="56" spans="1:21" s="28" customFormat="1" ht="12.75" x14ac:dyDescent="0.2">
      <c r="A56" s="8" t="str">
        <f>VLOOKUP("&lt;aktualisierung&gt;",Uebersetzungen!$B$3:$E$204,Uebersetzungen!$B$2+1,FALSE)</f>
        <v>Letztmals aktualisiert am: 09.07.2025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</sheetData>
  <sheetProtection sheet="1" objects="1" scenarios="1"/>
  <mergeCells count="3">
    <mergeCell ref="A7:D7"/>
    <mergeCell ref="C12:K12"/>
    <mergeCell ref="M12:U12"/>
  </mergeCells>
  <pageMargins left="0.7" right="0.7" top="0.75" bottom="0.75" header="0.3" footer="0.3"/>
  <pageSetup paperSize="9" scale="3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297" r:id="rId4" name="Option Button 1">
              <controlPr defaultSize="0" autoFill="0" autoLine="0" autoPict="0">
                <anchor moveWithCells="1">
                  <from>
                    <xdr:col>5</xdr:col>
                    <xdr:colOff>390525</xdr:colOff>
                    <xdr:row>1</xdr:row>
                    <xdr:rowOff>114300</xdr:rowOff>
                  </from>
                  <to>
                    <xdr:col>6</xdr:col>
                    <xdr:colOff>447675</xdr:colOff>
                    <xdr:row>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8" r:id="rId5" name="Option Button 2">
              <controlPr defaultSize="0" autoFill="0" autoLine="0" autoPict="0">
                <anchor moveWithCells="1">
                  <from>
                    <xdr:col>5</xdr:col>
                    <xdr:colOff>390525</xdr:colOff>
                    <xdr:row>2</xdr:row>
                    <xdr:rowOff>114300</xdr:rowOff>
                  </from>
                  <to>
                    <xdr:col>6</xdr:col>
                    <xdr:colOff>838200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9" r:id="rId6" name="Option Button 3">
              <controlPr defaultSize="0" autoFill="0" autoLine="0" autoPict="0">
                <anchor moveWithCells="1">
                  <from>
                    <xdr:col>5</xdr:col>
                    <xdr:colOff>390525</xdr:colOff>
                    <xdr:row>3</xdr:row>
                    <xdr:rowOff>95250</xdr:rowOff>
                  </from>
                  <to>
                    <xdr:col>6</xdr:col>
                    <xdr:colOff>447675</xdr:colOff>
                    <xdr:row>4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52"/>
  <sheetViews>
    <sheetView showGridLines="0" zoomScaleNormal="100" workbookViewId="0"/>
  </sheetViews>
  <sheetFormatPr baseColWidth="10" defaultColWidth="9.140625" defaultRowHeight="14.25" x14ac:dyDescent="0.2"/>
  <cols>
    <col min="1" max="1" width="25.85546875" style="25" customWidth="1"/>
    <col min="2" max="2" width="3.85546875" style="25" customWidth="1"/>
    <col min="3" max="11" width="16.7109375" style="25" customWidth="1"/>
    <col min="12" max="12" width="3.85546875" style="25" customWidth="1"/>
    <col min="13" max="20" width="16.7109375" style="25" customWidth="1"/>
    <col min="21" max="21" width="16.7109375" style="29" customWidth="1"/>
    <col min="22" max="16384" width="9.140625" style="29"/>
  </cols>
  <sheetData>
    <row r="1" spans="1:21" s="27" customFormat="1" ht="12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1" s="27" customFormat="1" x14ac:dyDescent="0.2">
      <c r="A2" s="1"/>
      <c r="B2" s="1"/>
      <c r="C2" s="25"/>
      <c r="D2" s="25"/>
      <c r="E2" s="25"/>
      <c r="F2" s="25"/>
      <c r="G2" s="25"/>
      <c r="H2" s="25"/>
      <c r="I2" s="1"/>
      <c r="J2" s="1"/>
      <c r="K2" s="1"/>
      <c r="L2" s="1"/>
      <c r="M2" s="25"/>
      <c r="N2" s="25"/>
      <c r="O2" s="25"/>
      <c r="P2" s="25"/>
      <c r="Q2" s="25"/>
      <c r="R2" s="25"/>
      <c r="S2" s="1"/>
      <c r="T2" s="1"/>
    </row>
    <row r="3" spans="1:21" s="27" customFormat="1" x14ac:dyDescent="0.2">
      <c r="A3" s="1"/>
      <c r="B3" s="1"/>
      <c r="C3" s="25"/>
      <c r="D3" s="25"/>
      <c r="E3" s="25"/>
      <c r="F3" s="25"/>
      <c r="G3" s="25"/>
      <c r="H3" s="25"/>
      <c r="I3" s="1"/>
      <c r="J3" s="1"/>
      <c r="K3" s="1"/>
      <c r="L3" s="1"/>
      <c r="M3" s="25"/>
      <c r="N3" s="25"/>
      <c r="O3" s="25"/>
      <c r="P3" s="25"/>
      <c r="Q3" s="25"/>
      <c r="R3" s="25"/>
      <c r="S3" s="1"/>
      <c r="T3" s="1"/>
    </row>
    <row r="4" spans="1:21" s="27" customFormat="1" x14ac:dyDescent="0.2">
      <c r="A4" s="1"/>
      <c r="B4" s="1"/>
      <c r="C4" s="25"/>
      <c r="D4" s="25"/>
      <c r="E4" s="25"/>
      <c r="F4" s="25"/>
      <c r="G4" s="25"/>
      <c r="H4" s="25"/>
      <c r="I4" s="1"/>
      <c r="J4" s="1"/>
      <c r="K4" s="1"/>
      <c r="L4" s="1"/>
      <c r="M4" s="25"/>
      <c r="N4" s="25"/>
      <c r="O4" s="25"/>
      <c r="P4" s="25"/>
      <c r="Q4" s="25"/>
      <c r="R4" s="25"/>
      <c r="S4" s="1"/>
      <c r="T4" s="1"/>
    </row>
    <row r="5" spans="1:21" s="27" customFormat="1" ht="12.7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1" s="27" customFormat="1" ht="12.7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1" s="27" customFormat="1" ht="15.75" customHeight="1" x14ac:dyDescent="0.2">
      <c r="A7" s="79" t="str">
        <f>VLOOKUP("&lt;Fachbereich&gt;",Uebersetzungen!$B$3:$E$60,Uebersetzungen!$B$2+1,FALSE)</f>
        <v>Daten &amp; Statistik</v>
      </c>
      <c r="B7" s="79"/>
      <c r="C7" s="79"/>
      <c r="D7" s="79"/>
      <c r="E7" s="32"/>
      <c r="F7" s="59"/>
      <c r="G7" s="59"/>
      <c r="H7" s="59"/>
      <c r="I7" s="2"/>
      <c r="J7" s="2"/>
      <c r="K7" s="2"/>
      <c r="L7" s="33"/>
      <c r="R7" s="32"/>
      <c r="S7" s="2"/>
      <c r="T7" s="2"/>
    </row>
    <row r="8" spans="1:21" s="27" customFormat="1" ht="12.7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1" s="28" customFormat="1" ht="18" x14ac:dyDescent="0.2">
      <c r="A9" s="11" t="str">
        <f>VLOOKUP("&lt;T3Titel&gt;",Uebersetzungen!$B$3:$E$334,Uebersetzungen!$B$2+1,FALSE)</f>
        <v>Exporte pro Kopf in der Schweiz nach Grossregion und Kanton (inkl. Fürstentum Liechtenstein) seit 2016</v>
      </c>
      <c r="B9" s="37"/>
      <c r="C9" s="26"/>
      <c r="D9" s="26"/>
      <c r="E9" s="26"/>
      <c r="F9" s="26"/>
      <c r="G9" s="26"/>
      <c r="H9" s="26"/>
      <c r="I9" s="26"/>
      <c r="J9" s="26"/>
      <c r="K9" s="26"/>
      <c r="L9" s="37"/>
      <c r="M9" s="26"/>
      <c r="N9" s="26"/>
      <c r="O9" s="26"/>
      <c r="P9" s="26"/>
      <c r="Q9" s="26"/>
      <c r="R9" s="26"/>
      <c r="S9" s="26"/>
      <c r="T9" s="26"/>
    </row>
    <row r="10" spans="1:21" s="28" customFormat="1" ht="12.75" x14ac:dyDescent="0.2">
      <c r="A10" s="12" t="str">
        <f>VLOOKUP("&lt;T3UTitel&gt;",Uebersetzungen!$B$3:$E$302,Uebersetzungen!$B$2+1,FALSE)</f>
        <v>Wert in Franken</v>
      </c>
      <c r="B10" s="38"/>
      <c r="C10" s="26"/>
      <c r="D10" s="26"/>
      <c r="E10" s="26"/>
      <c r="F10" s="26"/>
      <c r="G10" s="26"/>
      <c r="H10" s="26"/>
      <c r="I10" s="26"/>
      <c r="J10" s="26"/>
      <c r="K10" s="26"/>
      <c r="L10" s="38"/>
      <c r="M10" s="26"/>
      <c r="N10" s="26"/>
      <c r="O10" s="26"/>
      <c r="P10" s="26"/>
      <c r="Q10" s="26"/>
      <c r="R10" s="26"/>
      <c r="S10" s="26"/>
      <c r="T10" s="26"/>
    </row>
    <row r="11" spans="1:21" ht="18.75" thickBot="1" x14ac:dyDescent="0.3">
      <c r="C11" s="10"/>
      <c r="D11" s="4"/>
      <c r="E11" s="4"/>
      <c r="F11" s="4"/>
      <c r="G11" s="4"/>
      <c r="H11" s="4"/>
      <c r="I11" s="4"/>
      <c r="J11" s="4"/>
      <c r="K11" s="4"/>
      <c r="M11" s="10"/>
      <c r="N11" s="4"/>
      <c r="O11" s="4"/>
      <c r="P11" s="4"/>
      <c r="Q11" s="4"/>
      <c r="R11" s="4"/>
      <c r="S11" s="4"/>
      <c r="T11" s="4"/>
    </row>
    <row r="12" spans="1:21" s="30" customFormat="1" ht="37.5" customHeight="1" thickBot="1" x14ac:dyDescent="0.3">
      <c r="A12" s="3"/>
      <c r="B12" s="3"/>
      <c r="C12" s="80" t="str">
        <f>VLOOKUP("&lt;SpaltenTitel_1&gt;",Uebersetzungen!$B$3:$E$334,Uebersetzungen!$B$2+1,FALSE)</f>
        <v>Konjunkturelles Total*</v>
      </c>
      <c r="D12" s="81"/>
      <c r="E12" s="81"/>
      <c r="F12" s="81"/>
      <c r="G12" s="81"/>
      <c r="H12" s="81"/>
      <c r="I12" s="81"/>
      <c r="J12" s="81"/>
      <c r="K12" s="82"/>
      <c r="L12" s="3"/>
      <c r="M12" s="80" t="str">
        <f>VLOOKUP("&lt;SpaltenTitel_2&gt;",Uebersetzungen!$B$3:$E$334,Uebersetzungen!$B$2+1,FALSE)</f>
        <v>Gesamttotal</v>
      </c>
      <c r="N12" s="81"/>
      <c r="O12" s="81"/>
      <c r="P12" s="81"/>
      <c r="Q12" s="81"/>
      <c r="R12" s="81"/>
      <c r="S12" s="81"/>
      <c r="T12" s="81"/>
      <c r="U12" s="85"/>
    </row>
    <row r="13" spans="1:21" s="30" customFormat="1" ht="30" customHeight="1" thickBot="1" x14ac:dyDescent="0.3">
      <c r="A13" s="34"/>
      <c r="B13" s="34"/>
      <c r="C13" s="45">
        <v>2016</v>
      </c>
      <c r="D13" s="48">
        <v>2017</v>
      </c>
      <c r="E13" s="77">
        <v>2018</v>
      </c>
      <c r="F13" s="49">
        <v>2019</v>
      </c>
      <c r="G13" s="49">
        <v>2020</v>
      </c>
      <c r="H13" s="49">
        <v>2021</v>
      </c>
      <c r="I13" s="49">
        <v>2022</v>
      </c>
      <c r="J13" s="48">
        <v>2023</v>
      </c>
      <c r="K13" s="78">
        <v>2024</v>
      </c>
      <c r="L13" s="34"/>
      <c r="M13" s="45">
        <v>2016</v>
      </c>
      <c r="N13" s="48">
        <v>2017</v>
      </c>
      <c r="O13" s="48">
        <v>2018</v>
      </c>
      <c r="P13" s="48">
        <v>2019</v>
      </c>
      <c r="Q13" s="48">
        <v>2020</v>
      </c>
      <c r="R13" s="77">
        <v>2021</v>
      </c>
      <c r="S13" s="49">
        <v>2022</v>
      </c>
      <c r="T13" s="48">
        <v>2023</v>
      </c>
      <c r="U13" s="78">
        <v>2024</v>
      </c>
    </row>
    <row r="14" spans="1:21" s="28" customFormat="1" ht="12.75" x14ac:dyDescent="0.2">
      <c r="A14" s="41"/>
      <c r="B14" s="35"/>
      <c r="C14" s="61"/>
      <c r="D14" s="62"/>
      <c r="E14" s="62"/>
      <c r="F14" s="62"/>
      <c r="G14" s="62"/>
      <c r="H14" s="62"/>
      <c r="I14" s="62"/>
      <c r="J14" s="72"/>
      <c r="K14" s="63"/>
      <c r="L14" s="50"/>
      <c r="M14" s="61"/>
      <c r="N14" s="62"/>
      <c r="O14" s="62"/>
      <c r="P14" s="62"/>
      <c r="Q14" s="62"/>
      <c r="R14" s="62"/>
      <c r="S14" s="62"/>
      <c r="T14" s="72"/>
      <c r="U14" s="63"/>
    </row>
    <row r="15" spans="1:21" s="28" customFormat="1" ht="12.75" x14ac:dyDescent="0.2">
      <c r="A15" s="42" t="str">
        <f>VLOOKUP("&lt;Zeilentitel_2&gt;",Uebersetzungen!$B$3:$E$60,Uebersetzungen!$B$2+1,FALSE)</f>
        <v>Genferseeregion</v>
      </c>
      <c r="B15" s="34"/>
      <c r="C15" s="55">
        <v>22128.827564573501</v>
      </c>
      <c r="D15" s="64">
        <v>22487.0599270149</v>
      </c>
      <c r="E15" s="64">
        <v>23261.422685407899</v>
      </c>
      <c r="F15" s="64">
        <v>23473.9258129468</v>
      </c>
      <c r="G15" s="64">
        <v>19622.8383206199</v>
      </c>
      <c r="H15" s="64">
        <v>23487.0386486678</v>
      </c>
      <c r="I15" s="64">
        <v>26042.667205629099</v>
      </c>
      <c r="J15" s="73">
        <v>25639.746454781602</v>
      </c>
      <c r="K15" s="65">
        <v>24365.960148275401</v>
      </c>
      <c r="L15" s="51"/>
      <c r="M15" s="55">
        <v>34270.437179294102</v>
      </c>
      <c r="N15" s="64">
        <v>32536.343121814702</v>
      </c>
      <c r="O15" s="64">
        <v>32539.994663500001</v>
      </c>
      <c r="P15" s="64">
        <v>34449.421531638603</v>
      </c>
      <c r="Q15" s="64">
        <v>28466.809204720401</v>
      </c>
      <c r="R15" s="64">
        <v>26817.4271136303</v>
      </c>
      <c r="S15" s="64">
        <v>30545.206501537101</v>
      </c>
      <c r="T15" s="73">
        <v>29660.035165436901</v>
      </c>
      <c r="U15" s="65">
        <v>28796.572925502202</v>
      </c>
    </row>
    <row r="16" spans="1:21" s="28" customFormat="1" ht="12.75" x14ac:dyDescent="0.2">
      <c r="A16" s="43" t="str">
        <f>VLOOKUP("&lt;Zeilentitel_5&gt;",Uebersetzungen!$B$3:$E$60,Uebersetzungen!$B$2+1,FALSE)</f>
        <v>Genf</v>
      </c>
      <c r="B16" s="34"/>
      <c r="C16" s="56">
        <v>35283.683332463697</v>
      </c>
      <c r="D16" s="66">
        <v>36306.265404163401</v>
      </c>
      <c r="E16" s="66">
        <v>38813.915331462202</v>
      </c>
      <c r="F16" s="66">
        <v>39835.063273526801</v>
      </c>
      <c r="G16" s="66">
        <v>31522.843854117</v>
      </c>
      <c r="H16" s="66">
        <v>39034.6674485115</v>
      </c>
      <c r="I16" s="66">
        <v>43464.571392823302</v>
      </c>
      <c r="J16" s="74">
        <v>44478.848770081902</v>
      </c>
      <c r="K16" s="67">
        <v>43473.029696427497</v>
      </c>
      <c r="L16" s="52"/>
      <c r="M16" s="56">
        <v>73851.069146067501</v>
      </c>
      <c r="N16" s="66">
        <v>68321.4631043564</v>
      </c>
      <c r="O16" s="66">
        <v>68655.636956799004</v>
      </c>
      <c r="P16" s="66">
        <v>75001.089522820897</v>
      </c>
      <c r="Q16" s="66">
        <v>60077.192802665697</v>
      </c>
      <c r="R16" s="66">
        <v>49196.019774233901</v>
      </c>
      <c r="S16" s="66">
        <v>57259.682332545599</v>
      </c>
      <c r="T16" s="74">
        <v>56918.678682536403</v>
      </c>
      <c r="U16" s="67">
        <v>57455.822258202599</v>
      </c>
    </row>
    <row r="17" spans="1:21" s="28" customFormat="1" ht="12.75" x14ac:dyDescent="0.2">
      <c r="A17" s="43" t="str">
        <f>VLOOKUP("&lt;Zeilentitel_3&gt;",Uebersetzungen!$B$3:$E$60,Uebersetzungen!$B$2+1,FALSE)</f>
        <v>Waadt</v>
      </c>
      <c r="B17" s="34"/>
      <c r="C17" s="56">
        <v>19361.666771865701</v>
      </c>
      <c r="D17" s="66">
        <v>19361.045795871702</v>
      </c>
      <c r="E17" s="66">
        <v>19340.455826316302</v>
      </c>
      <c r="F17" s="66">
        <v>18926.422346057301</v>
      </c>
      <c r="G17" s="66">
        <v>16094.2690970969</v>
      </c>
      <c r="H17" s="66">
        <v>18661.898137921198</v>
      </c>
      <c r="I17" s="66">
        <v>20073.659188989201</v>
      </c>
      <c r="J17" s="74">
        <v>18660.906871274801</v>
      </c>
      <c r="K17" s="67">
        <v>17402.344485519399</v>
      </c>
      <c r="L17" s="52"/>
      <c r="M17" s="56">
        <v>20155.617927683401</v>
      </c>
      <c r="N17" s="66">
        <v>19919.637926764401</v>
      </c>
      <c r="O17" s="66">
        <v>19706.732549104399</v>
      </c>
      <c r="P17" s="66">
        <v>19387.2512784797</v>
      </c>
      <c r="Q17" s="66">
        <v>16386.420760658799</v>
      </c>
      <c r="R17" s="66">
        <v>19051.883860284601</v>
      </c>
      <c r="S17" s="66">
        <v>20654.2947336793</v>
      </c>
      <c r="T17" s="74">
        <v>19028.774969378399</v>
      </c>
      <c r="U17" s="67">
        <v>17737.300241635599</v>
      </c>
    </row>
    <row r="18" spans="1:21" s="28" customFormat="1" ht="12.75" x14ac:dyDescent="0.2">
      <c r="A18" s="43" t="str">
        <f>VLOOKUP("&lt;Zeilentitel_4&gt;",Uebersetzungen!$B$3:$E$60,Uebersetzungen!$B$2+1,FALSE)</f>
        <v>Wallis</v>
      </c>
      <c r="B18" s="34"/>
      <c r="C18" s="56">
        <v>9546.58585087151</v>
      </c>
      <c r="D18" s="66">
        <v>9704.95694212526</v>
      </c>
      <c r="E18" s="66">
        <v>9787.0770862631907</v>
      </c>
      <c r="F18" s="66">
        <v>10195.141909549</v>
      </c>
      <c r="G18" s="66">
        <v>10579.9206139862</v>
      </c>
      <c r="H18" s="66">
        <v>12306.0255486195</v>
      </c>
      <c r="I18" s="66">
        <v>14846.6067000561</v>
      </c>
      <c r="J18" s="74">
        <v>14690.006367382801</v>
      </c>
      <c r="K18" s="67">
        <v>13005.575846240999</v>
      </c>
      <c r="L18" s="52"/>
      <c r="M18" s="56">
        <v>9809.9076130804606</v>
      </c>
      <c r="N18" s="66">
        <v>9939.8389278181603</v>
      </c>
      <c r="O18" s="66">
        <v>9912.6655020751496</v>
      </c>
      <c r="P18" s="66">
        <v>10371.573169679999</v>
      </c>
      <c r="Q18" s="66">
        <v>10773.272012044499</v>
      </c>
      <c r="R18" s="66">
        <v>12635.8216298106</v>
      </c>
      <c r="S18" s="66">
        <v>15093.2799556554</v>
      </c>
      <c r="T18" s="74">
        <v>15051.622708442201</v>
      </c>
      <c r="U18" s="67">
        <v>13170.0434841959</v>
      </c>
    </row>
    <row r="19" spans="1:21" s="28" customFormat="1" ht="12.75" x14ac:dyDescent="0.2">
      <c r="A19" s="42" t="str">
        <f>VLOOKUP("&lt;Zeilentitel_6&gt;",Uebersetzungen!$B$3:$E$60,Uebersetzungen!$B$2+1,FALSE)</f>
        <v>Espace Mittelland</v>
      </c>
      <c r="B19" s="34"/>
      <c r="C19" s="55">
        <v>22360.631653850902</v>
      </c>
      <c r="D19" s="64">
        <v>23334.870156843201</v>
      </c>
      <c r="E19" s="64">
        <v>26150.819051377701</v>
      </c>
      <c r="F19" s="64">
        <v>26720.548047238</v>
      </c>
      <c r="G19" s="64">
        <v>22535.859364116699</v>
      </c>
      <c r="H19" s="64">
        <v>27347.997834446302</v>
      </c>
      <c r="I19" s="64">
        <v>28317.573696631702</v>
      </c>
      <c r="J19" s="73">
        <v>26296.406633632399</v>
      </c>
      <c r="K19" s="65">
        <v>24203.444052809798</v>
      </c>
      <c r="L19" s="51"/>
      <c r="M19" s="55">
        <v>28410.997249009099</v>
      </c>
      <c r="N19" s="64">
        <v>27723.526690966399</v>
      </c>
      <c r="O19" s="64">
        <v>30929.899432571601</v>
      </c>
      <c r="P19" s="64">
        <v>30801.162909875002</v>
      </c>
      <c r="Q19" s="64">
        <v>26608.625949603502</v>
      </c>
      <c r="R19" s="64">
        <v>32175.5247271064</v>
      </c>
      <c r="S19" s="64">
        <v>33278.008453525603</v>
      </c>
      <c r="T19" s="73">
        <v>31863.9123891936</v>
      </c>
      <c r="U19" s="65">
        <v>29335.9469073896</v>
      </c>
    </row>
    <row r="20" spans="1:21" s="28" customFormat="1" ht="12.75" x14ac:dyDescent="0.2">
      <c r="A20" s="43" t="str">
        <f>VLOOKUP("&lt;Zeilentitel_7&gt;",Uebersetzungen!$B$3:$E$60,Uebersetzungen!$B$2+1,FALSE)</f>
        <v>Bern</v>
      </c>
      <c r="B20" s="34"/>
      <c r="C20" s="56">
        <v>13116.373312248699</v>
      </c>
      <c r="D20" s="66">
        <v>13812.4023946216</v>
      </c>
      <c r="E20" s="66">
        <v>15828.910373888901</v>
      </c>
      <c r="F20" s="66">
        <v>15604.4617425954</v>
      </c>
      <c r="G20" s="66">
        <v>13435.7048229088</v>
      </c>
      <c r="H20" s="66">
        <v>16444.521051252199</v>
      </c>
      <c r="I20" s="66">
        <v>20696.639296781901</v>
      </c>
      <c r="J20" s="74">
        <v>19110.801763903801</v>
      </c>
      <c r="K20" s="67">
        <v>17842.9427868739</v>
      </c>
      <c r="L20" s="52"/>
      <c r="M20" s="56">
        <v>13568.870746815001</v>
      </c>
      <c r="N20" s="66">
        <v>14214.182975150699</v>
      </c>
      <c r="O20" s="66">
        <v>16061.4067008044</v>
      </c>
      <c r="P20" s="66">
        <v>15841.5927303792</v>
      </c>
      <c r="Q20" s="66">
        <v>13598.698787127199</v>
      </c>
      <c r="R20" s="66">
        <v>16729.5677134424</v>
      </c>
      <c r="S20" s="66">
        <v>21042.243235400801</v>
      </c>
      <c r="T20" s="74">
        <v>19534.553459810799</v>
      </c>
      <c r="U20" s="67">
        <v>18195.356535485502</v>
      </c>
    </row>
    <row r="21" spans="1:21" s="28" customFormat="1" ht="12.75" x14ac:dyDescent="0.2">
      <c r="A21" s="43" t="str">
        <f>VLOOKUP("&lt;Zeilentitel_8&gt;",Uebersetzungen!$B$3:$E$60,Uebersetzungen!$B$2+1,FALSE)</f>
        <v>Freiburg</v>
      </c>
      <c r="B21" s="34"/>
      <c r="C21" s="56">
        <v>12111.370341238</v>
      </c>
      <c r="D21" s="66">
        <v>13025.275302578701</v>
      </c>
      <c r="E21" s="66">
        <v>14523.629727048199</v>
      </c>
      <c r="F21" s="66">
        <v>14222.077165807499</v>
      </c>
      <c r="G21" s="66">
        <v>12079.780217383701</v>
      </c>
      <c r="H21" s="66">
        <v>15021.5437387453</v>
      </c>
      <c r="I21" s="66">
        <v>15270.6482879777</v>
      </c>
      <c r="J21" s="74">
        <v>15765.8091675461</v>
      </c>
      <c r="K21" s="67">
        <v>15392.1790066905</v>
      </c>
      <c r="L21" s="52"/>
      <c r="M21" s="56">
        <v>12493.4910479102</v>
      </c>
      <c r="N21" s="66">
        <v>13412.437773698501</v>
      </c>
      <c r="O21" s="66">
        <v>14863.6581137212</v>
      </c>
      <c r="P21" s="66">
        <v>14602.983273048399</v>
      </c>
      <c r="Q21" s="66">
        <v>12330.539417546401</v>
      </c>
      <c r="R21" s="66">
        <v>15317.046080039299</v>
      </c>
      <c r="S21" s="66">
        <v>15516.1779166294</v>
      </c>
      <c r="T21" s="74">
        <v>15948.457098925501</v>
      </c>
      <c r="U21" s="67">
        <v>15586.9213698728</v>
      </c>
    </row>
    <row r="22" spans="1:21" s="28" customFormat="1" ht="12.75" x14ac:dyDescent="0.2">
      <c r="A22" s="43" t="str">
        <f>VLOOKUP("&lt;Zeilentitel_11&gt;",Uebersetzungen!$B$3:$E$60,Uebersetzungen!$B$2+1,FALSE)</f>
        <v>Jura</v>
      </c>
      <c r="B22" s="34"/>
      <c r="C22" s="56">
        <v>30071.395736473602</v>
      </c>
      <c r="D22" s="66">
        <v>33784.937156576001</v>
      </c>
      <c r="E22" s="66">
        <v>32875.718110962502</v>
      </c>
      <c r="F22" s="66">
        <v>33154.680484276701</v>
      </c>
      <c r="G22" s="66">
        <v>27340.033080998499</v>
      </c>
      <c r="H22" s="66">
        <v>35303.491572856299</v>
      </c>
      <c r="I22" s="66">
        <v>42090.020462449698</v>
      </c>
      <c r="J22" s="74">
        <v>44572.190555408597</v>
      </c>
      <c r="K22" s="67">
        <v>42496.151237509301</v>
      </c>
      <c r="L22" s="52"/>
      <c r="M22" s="56">
        <v>31554.307391850401</v>
      </c>
      <c r="N22" s="66">
        <v>35688.4090331306</v>
      </c>
      <c r="O22" s="66">
        <v>34684.091351410803</v>
      </c>
      <c r="P22" s="66">
        <v>35547.5225790365</v>
      </c>
      <c r="Q22" s="66">
        <v>30405.078967309699</v>
      </c>
      <c r="R22" s="66">
        <v>44986.783968349802</v>
      </c>
      <c r="S22" s="66">
        <v>56042.070155942602</v>
      </c>
      <c r="T22" s="74">
        <v>60359.424808496296</v>
      </c>
      <c r="U22" s="67">
        <v>61868.685050483502</v>
      </c>
    </row>
    <row r="23" spans="1:21" s="28" customFormat="1" ht="12.75" x14ac:dyDescent="0.2">
      <c r="A23" s="43" t="str">
        <f>VLOOKUP("&lt;Zeilentitel_10&gt;",Uebersetzungen!$B$3:$E$60,Uebersetzungen!$B$2+1,FALSE)</f>
        <v>Neuenburg</v>
      </c>
      <c r="B23" s="34"/>
      <c r="C23" s="56">
        <v>99290.850127011799</v>
      </c>
      <c r="D23" s="66">
        <v>102163.99416279</v>
      </c>
      <c r="E23" s="66">
        <v>116945.886678696</v>
      </c>
      <c r="F23" s="66">
        <v>125570.298910934</v>
      </c>
      <c r="G23" s="66">
        <v>105225.70290185401</v>
      </c>
      <c r="H23" s="66">
        <v>127387.707647905</v>
      </c>
      <c r="I23" s="66">
        <v>104995.33983205</v>
      </c>
      <c r="J23" s="74">
        <v>93319.4644775583</v>
      </c>
      <c r="K23" s="67">
        <v>82435.439904250394</v>
      </c>
      <c r="L23" s="52"/>
      <c r="M23" s="56">
        <v>158251.27482912599</v>
      </c>
      <c r="N23" s="66">
        <v>144269.07739751399</v>
      </c>
      <c r="O23" s="66">
        <v>164872.03095262701</v>
      </c>
      <c r="P23" s="66">
        <v>165980.82813709701</v>
      </c>
      <c r="Q23" s="66">
        <v>146283.475447701</v>
      </c>
      <c r="R23" s="66">
        <v>173076.33671192901</v>
      </c>
      <c r="S23" s="66">
        <v>150124.20495047301</v>
      </c>
      <c r="T23" s="74">
        <v>144174.59243344999</v>
      </c>
      <c r="U23" s="67">
        <v>127822.767994974</v>
      </c>
    </row>
    <row r="24" spans="1:21" s="28" customFormat="1" ht="12.75" x14ac:dyDescent="0.2">
      <c r="A24" s="43" t="str">
        <f>VLOOKUP("&lt;Zeilentitel_9&gt;",Uebersetzungen!$B$3:$E$60,Uebersetzungen!$B$2+1,FALSE)</f>
        <v>Solothurn</v>
      </c>
      <c r="B24" s="34"/>
      <c r="C24" s="56">
        <v>16362.0836285074</v>
      </c>
      <c r="D24" s="66">
        <v>16970.542251114399</v>
      </c>
      <c r="E24" s="66">
        <v>18229.2483583309</v>
      </c>
      <c r="F24" s="66">
        <v>18197.5751304162</v>
      </c>
      <c r="G24" s="66">
        <v>15303.663132502399</v>
      </c>
      <c r="H24" s="66">
        <v>17621.7435703064</v>
      </c>
      <c r="I24" s="66">
        <v>20590.437165428</v>
      </c>
      <c r="J24" s="74">
        <v>18997.142677470001</v>
      </c>
      <c r="K24" s="67">
        <v>17386.909618631202</v>
      </c>
      <c r="L24" s="52"/>
      <c r="M24" s="56">
        <v>16471.724647736599</v>
      </c>
      <c r="N24" s="66">
        <v>17091.8729619693</v>
      </c>
      <c r="O24" s="66">
        <v>18275.720172391</v>
      </c>
      <c r="P24" s="66">
        <v>18270.4196112145</v>
      </c>
      <c r="Q24" s="66">
        <v>15374.3104013884</v>
      </c>
      <c r="R24" s="66">
        <v>17794.474568259498</v>
      </c>
      <c r="S24" s="66">
        <v>20845.175835411501</v>
      </c>
      <c r="T24" s="74">
        <v>19203.432165387701</v>
      </c>
      <c r="U24" s="67">
        <v>17437.540128180499</v>
      </c>
    </row>
    <row r="25" spans="1:21" s="28" customFormat="1" ht="12.75" x14ac:dyDescent="0.2">
      <c r="A25" s="42" t="str">
        <f>VLOOKUP("&lt;Zeilentitel_12&gt;",Uebersetzungen!$B$3:$E$60,Uebersetzungen!$B$2+1,FALSE)</f>
        <v>Nordwestschweiz</v>
      </c>
      <c r="B25" s="34"/>
      <c r="C25" s="55">
        <v>62332.636130126899</v>
      </c>
      <c r="D25" s="64">
        <v>65350.405898740399</v>
      </c>
      <c r="E25" s="64">
        <v>67179.239375114703</v>
      </c>
      <c r="F25" s="64">
        <v>72867.509601720201</v>
      </c>
      <c r="G25" s="64">
        <v>73922.298591987696</v>
      </c>
      <c r="H25" s="64">
        <v>82350.261845947098</v>
      </c>
      <c r="I25" s="64">
        <v>86963.046913373997</v>
      </c>
      <c r="J25" s="73">
        <v>87730.971047622807</v>
      </c>
      <c r="K25" s="65">
        <v>98375.620406254093</v>
      </c>
      <c r="L25" s="51"/>
      <c r="M25" s="55">
        <v>62842.220128594301</v>
      </c>
      <c r="N25" s="64">
        <v>65692.999074105493</v>
      </c>
      <c r="O25" s="64">
        <v>67451.763916825701</v>
      </c>
      <c r="P25" s="64">
        <v>73278.347224462195</v>
      </c>
      <c r="Q25" s="64">
        <v>74226.317266328595</v>
      </c>
      <c r="R25" s="64">
        <v>82813.321569377295</v>
      </c>
      <c r="S25" s="64">
        <v>87534.809528444093</v>
      </c>
      <c r="T25" s="73">
        <v>88225.001355593296</v>
      </c>
      <c r="U25" s="65">
        <v>98738.566432316293</v>
      </c>
    </row>
    <row r="26" spans="1:21" s="28" customFormat="1" ht="12.75" x14ac:dyDescent="0.2">
      <c r="A26" s="43" t="str">
        <f>VLOOKUP("&lt;Zeilentitel_15&gt;",Uebersetzungen!$B$3:$E$60,Uebersetzungen!$B$2+1,FALSE)</f>
        <v>Aargau</v>
      </c>
      <c r="B26" s="34"/>
      <c r="C26" s="56">
        <v>19501.046392047199</v>
      </c>
      <c r="D26" s="66">
        <v>19806.115446123102</v>
      </c>
      <c r="E26" s="66">
        <v>21605.5976277257</v>
      </c>
      <c r="F26" s="66">
        <v>21919.403310314901</v>
      </c>
      <c r="G26" s="66">
        <v>21314.077607803501</v>
      </c>
      <c r="H26" s="66">
        <v>22204.700715561299</v>
      </c>
      <c r="I26" s="66">
        <v>24035.233820142199</v>
      </c>
      <c r="J26" s="74">
        <v>22865.230700030901</v>
      </c>
      <c r="K26" s="67">
        <v>23884.419967601902</v>
      </c>
      <c r="L26" s="53"/>
      <c r="M26" s="56">
        <v>19623.544810042102</v>
      </c>
      <c r="N26" s="66">
        <v>19932.526982096999</v>
      </c>
      <c r="O26" s="66">
        <v>21713.918436277701</v>
      </c>
      <c r="P26" s="66">
        <v>22114.704240625499</v>
      </c>
      <c r="Q26" s="66">
        <v>21486.4497215595</v>
      </c>
      <c r="R26" s="66">
        <v>22483.710743181098</v>
      </c>
      <c r="S26" s="66">
        <v>24362.704366200502</v>
      </c>
      <c r="T26" s="74">
        <v>23138.345548757901</v>
      </c>
      <c r="U26" s="67">
        <v>24047.0669328363</v>
      </c>
    </row>
    <row r="27" spans="1:21" s="28" customFormat="1" ht="12.75" x14ac:dyDescent="0.2">
      <c r="A27" s="43" t="str">
        <f>VLOOKUP("&lt;Zeilentitel_14&gt;",Uebersetzungen!$B$3:$E$60,Uebersetzungen!$B$2+1,FALSE)</f>
        <v>Basel-Landschaft</v>
      </c>
      <c r="B27" s="34"/>
      <c r="C27" s="56">
        <v>20841.0979911781</v>
      </c>
      <c r="D27" s="66">
        <v>22071.622816814699</v>
      </c>
      <c r="E27" s="66">
        <v>23355.2144196921</v>
      </c>
      <c r="F27" s="66">
        <v>23556.533851287</v>
      </c>
      <c r="G27" s="66">
        <v>20516.166883285699</v>
      </c>
      <c r="H27" s="66">
        <v>20540.2254089462</v>
      </c>
      <c r="I27" s="66">
        <v>22459.828018420001</v>
      </c>
      <c r="J27" s="74">
        <v>21391.8101290339</v>
      </c>
      <c r="K27" s="67">
        <v>20817.8750691323</v>
      </c>
      <c r="L27" s="53"/>
      <c r="M27" s="56">
        <v>20978.938649641401</v>
      </c>
      <c r="N27" s="66">
        <v>22196.421548075701</v>
      </c>
      <c r="O27" s="66">
        <v>23470.276706788001</v>
      </c>
      <c r="P27" s="66">
        <v>23746.6918279069</v>
      </c>
      <c r="Q27" s="66">
        <v>20592.746683885998</v>
      </c>
      <c r="R27" s="66">
        <v>20678.6241216655</v>
      </c>
      <c r="S27" s="66">
        <v>22643.724068571999</v>
      </c>
      <c r="T27" s="74">
        <v>21491.5956776034</v>
      </c>
      <c r="U27" s="67">
        <v>20963.693737476198</v>
      </c>
    </row>
    <row r="28" spans="1:21" s="28" customFormat="1" ht="12.75" x14ac:dyDescent="0.2">
      <c r="A28" s="43" t="str">
        <f>VLOOKUP("&lt;Zeilentitel_13&gt;",Uebersetzungen!$B$3:$E$60,Uebersetzungen!$B$2+1,FALSE)</f>
        <v>Basel-Stadt</v>
      </c>
      <c r="B28" s="34"/>
      <c r="C28" s="56">
        <v>270915.19413911097</v>
      </c>
      <c r="D28" s="66">
        <v>287010.56699960801</v>
      </c>
      <c r="E28" s="66">
        <v>290722.73517742899</v>
      </c>
      <c r="F28" s="66">
        <v>324181.23510357703</v>
      </c>
      <c r="G28" s="66">
        <v>338558.75123876502</v>
      </c>
      <c r="H28" s="66">
        <v>390500.88582032197</v>
      </c>
      <c r="I28" s="66">
        <v>411013.78422814899</v>
      </c>
      <c r="J28" s="74">
        <v>421369.34043589799</v>
      </c>
      <c r="K28" s="67">
        <v>485977.97223898402</v>
      </c>
      <c r="L28" s="53"/>
      <c r="M28" s="56">
        <v>273305.03786172002</v>
      </c>
      <c r="N28" s="66">
        <v>288423.60234642797</v>
      </c>
      <c r="O28" s="66">
        <v>291800.048903118</v>
      </c>
      <c r="P28" s="66">
        <v>325673.09907273098</v>
      </c>
      <c r="Q28" s="66">
        <v>339663.75296080398</v>
      </c>
      <c r="R28" s="66">
        <v>392109.39490808302</v>
      </c>
      <c r="S28" s="66">
        <v>413049.24949690403</v>
      </c>
      <c r="T28" s="74">
        <v>423250.78652429901</v>
      </c>
      <c r="U28" s="67">
        <v>487395.97114708897</v>
      </c>
    </row>
    <row r="29" spans="1:21" s="28" customFormat="1" ht="12.75" x14ac:dyDescent="0.2">
      <c r="A29" s="42" t="str">
        <f>VLOOKUP("&lt;Zeilentitel_16&gt;",Uebersetzungen!$B$3:$E$60,Uebersetzungen!$B$2+1,FALSE)</f>
        <v>Zürich</v>
      </c>
      <c r="B29" s="34"/>
      <c r="C29" s="55">
        <v>9069.3679778370206</v>
      </c>
      <c r="D29" s="64">
        <v>9491.4650362122302</v>
      </c>
      <c r="E29" s="64">
        <v>9562.7338760076309</v>
      </c>
      <c r="F29" s="64">
        <v>9523.9387045166204</v>
      </c>
      <c r="G29" s="64">
        <v>8242.5704270552997</v>
      </c>
      <c r="H29" s="64">
        <v>9269.6998884797194</v>
      </c>
      <c r="I29" s="64">
        <v>10367.602572727799</v>
      </c>
      <c r="J29" s="73">
        <v>9862.3453876451604</v>
      </c>
      <c r="K29" s="65">
        <v>9818.3883044657196</v>
      </c>
      <c r="L29" s="51"/>
      <c r="M29" s="55">
        <v>16342.0264883076</v>
      </c>
      <c r="N29" s="64">
        <v>15187.090206801</v>
      </c>
      <c r="O29" s="64">
        <v>14543.239909592899</v>
      </c>
      <c r="P29" s="64">
        <v>18006.987169079399</v>
      </c>
      <c r="Q29" s="64">
        <v>14312.554643924401</v>
      </c>
      <c r="R29" s="64">
        <v>16386.856878124901</v>
      </c>
      <c r="S29" s="64">
        <v>19500.976461181599</v>
      </c>
      <c r="T29" s="73">
        <v>16863.717334983801</v>
      </c>
      <c r="U29" s="65">
        <v>18157.970404087198</v>
      </c>
    </row>
    <row r="30" spans="1:21" s="28" customFormat="1" ht="12.75" x14ac:dyDescent="0.2">
      <c r="A30" s="43" t="str">
        <f>VLOOKUP("&lt;Zeilentitel_16&gt;",Uebersetzungen!$B$3:$E$60,Uebersetzungen!$B$2+1,FALSE)</f>
        <v>Zürich</v>
      </c>
      <c r="B30" s="34"/>
      <c r="C30" s="56">
        <v>9069.3679778370297</v>
      </c>
      <c r="D30" s="66">
        <v>9491.4650362122593</v>
      </c>
      <c r="E30" s="66">
        <v>9562.7338760079292</v>
      </c>
      <c r="F30" s="66">
        <v>9523.9387045165804</v>
      </c>
      <c r="G30" s="66">
        <v>8242.5704270548704</v>
      </c>
      <c r="H30" s="66">
        <v>9269.6998884798195</v>
      </c>
      <c r="I30" s="66">
        <v>10367.602572727799</v>
      </c>
      <c r="J30" s="74">
        <v>9862.3453876449894</v>
      </c>
      <c r="K30" s="67">
        <v>9818.3883044659106</v>
      </c>
      <c r="L30" s="51"/>
      <c r="M30" s="56">
        <v>16342.0264883076</v>
      </c>
      <c r="N30" s="66">
        <v>15187.0902068016</v>
      </c>
      <c r="O30" s="66">
        <v>14543.239909593</v>
      </c>
      <c r="P30" s="66">
        <v>18006.987169079399</v>
      </c>
      <c r="Q30" s="66">
        <v>14312.554643924601</v>
      </c>
      <c r="R30" s="66">
        <v>16386.856878124901</v>
      </c>
      <c r="S30" s="66">
        <v>19500.976461181599</v>
      </c>
      <c r="T30" s="74">
        <v>16863.717334984402</v>
      </c>
      <c r="U30" s="67">
        <v>18157.970404086602</v>
      </c>
    </row>
    <row r="31" spans="1:21" s="28" customFormat="1" ht="12.75" x14ac:dyDescent="0.2">
      <c r="A31" s="42" t="str">
        <f>VLOOKUP("&lt;Zeilentitel_17&gt;",Uebersetzungen!$B$3:$E$60,Uebersetzungen!$B$2+1,FALSE)</f>
        <v>Ostschweiz</v>
      </c>
      <c r="B31" s="34"/>
      <c r="C31" s="55">
        <v>16678.430159956999</v>
      </c>
      <c r="D31" s="64">
        <v>18163.090464668599</v>
      </c>
      <c r="E31" s="64">
        <v>18715.620075382802</v>
      </c>
      <c r="F31" s="64">
        <v>18754.054953666298</v>
      </c>
      <c r="G31" s="64">
        <v>17600.808725008399</v>
      </c>
      <c r="H31" s="64">
        <v>19223.657540775501</v>
      </c>
      <c r="I31" s="64">
        <v>20024.971950040399</v>
      </c>
      <c r="J31" s="73">
        <v>19173.3017500223</v>
      </c>
      <c r="K31" s="65">
        <v>18351.260411551499</v>
      </c>
      <c r="L31" s="51"/>
      <c r="M31" s="55">
        <v>17143.678239230201</v>
      </c>
      <c r="N31" s="64">
        <v>18591.055791977102</v>
      </c>
      <c r="O31" s="64">
        <v>18998.583799182299</v>
      </c>
      <c r="P31" s="64">
        <v>19068.031466196899</v>
      </c>
      <c r="Q31" s="64">
        <v>17868.744939658201</v>
      </c>
      <c r="R31" s="64">
        <v>19584.793505822599</v>
      </c>
      <c r="S31" s="64">
        <v>20507.776562385301</v>
      </c>
      <c r="T31" s="73">
        <v>19444.134820277501</v>
      </c>
      <c r="U31" s="65">
        <v>18608.811188647702</v>
      </c>
    </row>
    <row r="32" spans="1:21" s="28" customFormat="1" ht="12.75" x14ac:dyDescent="0.2">
      <c r="A32" s="43" t="str">
        <f>VLOOKUP("&lt;Zeilentitel_21&gt;",Uebersetzungen!$B$3:$E$60,Uebersetzungen!$B$2+1,FALSE)</f>
        <v>Appenzell Innerrhoden</v>
      </c>
      <c r="B32" s="34"/>
      <c r="C32" s="56">
        <v>7489.8791264189504</v>
      </c>
      <c r="D32" s="66">
        <v>7100.77083640403</v>
      </c>
      <c r="E32" s="66">
        <v>8303.64161113923</v>
      </c>
      <c r="F32" s="66">
        <v>7608.1198815465495</v>
      </c>
      <c r="G32" s="66">
        <v>6518.7231061448601</v>
      </c>
      <c r="H32" s="66">
        <v>7978.7065508188298</v>
      </c>
      <c r="I32" s="66">
        <v>8287.2528114356592</v>
      </c>
      <c r="J32" s="74">
        <v>9027.0502716859191</v>
      </c>
      <c r="K32" s="67">
        <v>9073.3933640698797</v>
      </c>
      <c r="L32" s="54"/>
      <c r="M32" s="56">
        <v>7490.0595074422699</v>
      </c>
      <c r="N32" s="66">
        <v>7102.2038754752002</v>
      </c>
      <c r="O32" s="66">
        <v>8305.3510642586498</v>
      </c>
      <c r="P32" s="66">
        <v>7619.2143942440898</v>
      </c>
      <c r="Q32" s="66">
        <v>6528.04742473228</v>
      </c>
      <c r="R32" s="66">
        <v>8051.0829555275895</v>
      </c>
      <c r="S32" s="66">
        <v>8306.1362717949505</v>
      </c>
      <c r="T32" s="74">
        <v>9122.9332861907405</v>
      </c>
      <c r="U32" s="67">
        <v>9166.8093509758492</v>
      </c>
    </row>
    <row r="33" spans="1:21" s="28" customFormat="1" ht="12.75" x14ac:dyDescent="0.2">
      <c r="A33" s="43" t="str">
        <f>VLOOKUP("&lt;Zeilentitel_20&gt;",Uebersetzungen!$B$3:$E$60,Uebersetzungen!$B$2+1,FALSE)</f>
        <v>Appenzell Ausserrhoden</v>
      </c>
      <c r="B33" s="34"/>
      <c r="C33" s="56">
        <v>16482.683831809001</v>
      </c>
      <c r="D33" s="66">
        <v>15881.938442675601</v>
      </c>
      <c r="E33" s="66">
        <v>17035.210824988601</v>
      </c>
      <c r="F33" s="66">
        <v>15488.6683014378</v>
      </c>
      <c r="G33" s="66">
        <v>13426.9003324686</v>
      </c>
      <c r="H33" s="66">
        <v>15367.666879672999</v>
      </c>
      <c r="I33" s="66">
        <v>16094.0364926193</v>
      </c>
      <c r="J33" s="74">
        <v>15513.621868661899</v>
      </c>
      <c r="K33" s="67">
        <v>14523.486638844301</v>
      </c>
      <c r="L33" s="53"/>
      <c r="M33" s="56">
        <v>17835.426234002</v>
      </c>
      <c r="N33" s="66">
        <v>16697.879456554299</v>
      </c>
      <c r="O33" s="66">
        <v>17478.127804000502</v>
      </c>
      <c r="P33" s="66">
        <v>15703.157380267199</v>
      </c>
      <c r="Q33" s="66">
        <v>13780.177010982001</v>
      </c>
      <c r="R33" s="66">
        <v>15848.175373841499</v>
      </c>
      <c r="S33" s="66">
        <v>16485.2616178145</v>
      </c>
      <c r="T33" s="74">
        <v>15781.5832893102</v>
      </c>
      <c r="U33" s="67">
        <v>15463.9718804729</v>
      </c>
    </row>
    <row r="34" spans="1:21" s="28" customFormat="1" ht="12.75" x14ac:dyDescent="0.2">
      <c r="A34" s="43" t="str">
        <f>VLOOKUP("&lt;Zeilentitel_18&gt;",Uebersetzungen!$B$3:$E$60,Uebersetzungen!$B$2+1,FALSE)</f>
        <v>Glarus</v>
      </c>
      <c r="B34" s="34"/>
      <c r="C34" s="56">
        <v>15846.424169076799</v>
      </c>
      <c r="D34" s="66">
        <v>15341.4832537443</v>
      </c>
      <c r="E34" s="66">
        <v>16603.562943982401</v>
      </c>
      <c r="F34" s="66">
        <v>15357.535977441699</v>
      </c>
      <c r="G34" s="66">
        <v>12914.473572568</v>
      </c>
      <c r="H34" s="66">
        <v>13097.2519003822</v>
      </c>
      <c r="I34" s="66">
        <v>14856.106997843301</v>
      </c>
      <c r="J34" s="74">
        <v>15514.665811991101</v>
      </c>
      <c r="K34" s="67">
        <v>14744.7976520552</v>
      </c>
      <c r="L34" s="53"/>
      <c r="M34" s="56">
        <v>15944.552615828001</v>
      </c>
      <c r="N34" s="66">
        <v>15396.874302043499</v>
      </c>
      <c r="O34" s="66">
        <v>16670.702192039302</v>
      </c>
      <c r="P34" s="66">
        <v>15549.5023965248</v>
      </c>
      <c r="Q34" s="66">
        <v>12915.341406728799</v>
      </c>
      <c r="R34" s="66">
        <v>13098.0331328634</v>
      </c>
      <c r="S34" s="66">
        <v>15034.202651305201</v>
      </c>
      <c r="T34" s="74">
        <v>15655.3689030967</v>
      </c>
      <c r="U34" s="67">
        <v>14818.341788465999</v>
      </c>
    </row>
    <row r="35" spans="1:21" s="28" customFormat="1" ht="12.75" x14ac:dyDescent="0.2">
      <c r="A35" s="47" t="str">
        <f>VLOOKUP("&lt;Zeilentitel_23&gt;",Uebersetzungen!$B$3:$E$60,Uebersetzungen!$B$2+1,FALSE)</f>
        <v>Graubünden</v>
      </c>
      <c r="B35" s="34"/>
      <c r="C35" s="57">
        <v>11641.4386836383</v>
      </c>
      <c r="D35" s="68">
        <v>12721.4958950081</v>
      </c>
      <c r="E35" s="68">
        <v>14441.510701159599</v>
      </c>
      <c r="F35" s="68">
        <v>12579.782545485799</v>
      </c>
      <c r="G35" s="68">
        <v>12690.0100072737</v>
      </c>
      <c r="H35" s="68">
        <v>14746.5455007403</v>
      </c>
      <c r="I35" s="68">
        <v>14192.6810343091</v>
      </c>
      <c r="J35" s="75">
        <v>12703.238102776</v>
      </c>
      <c r="K35" s="69">
        <v>12027.551425548399</v>
      </c>
      <c r="L35" s="53"/>
      <c r="M35" s="57">
        <v>12274.6988012701</v>
      </c>
      <c r="N35" s="68">
        <v>13370.495320239101</v>
      </c>
      <c r="O35" s="68">
        <v>14879.659203245899</v>
      </c>
      <c r="P35" s="68">
        <v>13026.432738765699</v>
      </c>
      <c r="Q35" s="68">
        <v>13074.9661619205</v>
      </c>
      <c r="R35" s="68">
        <v>15233.272637829699</v>
      </c>
      <c r="S35" s="68">
        <v>15115.5748136331</v>
      </c>
      <c r="T35" s="75">
        <v>13246.4083610159</v>
      </c>
      <c r="U35" s="69">
        <v>12390.009121613301</v>
      </c>
    </row>
    <row r="36" spans="1:21" s="28" customFormat="1" ht="12.75" x14ac:dyDescent="0.2">
      <c r="A36" s="43" t="str">
        <f>VLOOKUP("&lt;Zeilentitel_22&gt;",Uebersetzungen!$B$3:$E$60,Uebersetzungen!$B$2+1,FALSE)</f>
        <v>St. Gallen</v>
      </c>
      <c r="B36" s="34"/>
      <c r="C36" s="56">
        <v>18857.119588829599</v>
      </c>
      <c r="D36" s="66">
        <v>20334.008727568598</v>
      </c>
      <c r="E36" s="66">
        <v>20587.138084811901</v>
      </c>
      <c r="F36" s="66">
        <v>20249.071282610199</v>
      </c>
      <c r="G36" s="66">
        <v>19427.532191655198</v>
      </c>
      <c r="H36" s="66">
        <v>21249.896018939799</v>
      </c>
      <c r="I36" s="66">
        <v>22216.921515518701</v>
      </c>
      <c r="J36" s="74">
        <v>21055.251993411799</v>
      </c>
      <c r="K36" s="67">
        <v>20810.1217028229</v>
      </c>
      <c r="L36" s="53"/>
      <c r="M36" s="56">
        <v>19214.902731022099</v>
      </c>
      <c r="N36" s="66">
        <v>20654.238471147699</v>
      </c>
      <c r="O36" s="66">
        <v>20746.879467747902</v>
      </c>
      <c r="P36" s="66">
        <v>20460.341784145501</v>
      </c>
      <c r="Q36" s="66">
        <v>19673.430649213198</v>
      </c>
      <c r="R36" s="66">
        <v>21639.084152674001</v>
      </c>
      <c r="S36" s="66">
        <v>22714.374651774699</v>
      </c>
      <c r="T36" s="74">
        <v>21302.700160025299</v>
      </c>
      <c r="U36" s="67">
        <v>21000.135167853899</v>
      </c>
    </row>
    <row r="37" spans="1:21" s="28" customFormat="1" ht="12.75" x14ac:dyDescent="0.2">
      <c r="A37" s="43" t="str">
        <f>VLOOKUP("&lt;Zeilentitel_19&gt;",Uebersetzungen!$B$3:$E$60,Uebersetzungen!$B$2+1,FALSE)</f>
        <v>Schaffhausen</v>
      </c>
      <c r="B37" s="34"/>
      <c r="C37" s="56">
        <v>30189.3114723814</v>
      </c>
      <c r="D37" s="66">
        <v>39015.968864838302</v>
      </c>
      <c r="E37" s="66">
        <v>39478.019538608598</v>
      </c>
      <c r="F37" s="66">
        <v>42752.226787298903</v>
      </c>
      <c r="G37" s="66">
        <v>38179.221728352699</v>
      </c>
      <c r="H37" s="66">
        <v>41732.519420463803</v>
      </c>
      <c r="I37" s="66">
        <v>43463.146665042797</v>
      </c>
      <c r="J37" s="74">
        <v>46575.797212083198</v>
      </c>
      <c r="K37" s="67">
        <v>42617.254907595299</v>
      </c>
      <c r="L37" s="53"/>
      <c r="M37" s="56">
        <v>31627.676536041199</v>
      </c>
      <c r="N37" s="66">
        <v>40572.760091068201</v>
      </c>
      <c r="O37" s="66">
        <v>40922.969343039498</v>
      </c>
      <c r="P37" s="66">
        <v>44249.413875792001</v>
      </c>
      <c r="Q37" s="66">
        <v>39112.249965384603</v>
      </c>
      <c r="R37" s="66">
        <v>42631.706799512998</v>
      </c>
      <c r="S37" s="66">
        <v>44195.500049358401</v>
      </c>
      <c r="T37" s="74">
        <v>46973.526288681402</v>
      </c>
      <c r="U37" s="67">
        <v>43335.954568256297</v>
      </c>
    </row>
    <row r="38" spans="1:21" s="28" customFormat="1" ht="12.75" x14ac:dyDescent="0.2">
      <c r="A38" s="43" t="str">
        <f>VLOOKUP("&lt;Zeilentitel_24&gt;",Uebersetzungen!$B$3:$E$60,Uebersetzungen!$B$2+1,FALSE)</f>
        <v>Thurgau</v>
      </c>
      <c r="B38" s="34"/>
      <c r="C38" s="56">
        <v>12984.875090916899</v>
      </c>
      <c r="D38" s="66">
        <v>13424.8637754838</v>
      </c>
      <c r="E38" s="66">
        <v>13440.695407519101</v>
      </c>
      <c r="F38" s="66">
        <v>15132.510213372299</v>
      </c>
      <c r="G38" s="66">
        <v>13837.3335803025</v>
      </c>
      <c r="H38" s="66">
        <v>14360.9045606374</v>
      </c>
      <c r="I38" s="66">
        <v>15389.3315833832</v>
      </c>
      <c r="J38" s="74">
        <v>13951.1225020648</v>
      </c>
      <c r="K38" s="67">
        <v>12834.2696531323</v>
      </c>
      <c r="L38" s="53"/>
      <c r="M38" s="56">
        <v>13138.436989153501</v>
      </c>
      <c r="N38" s="66">
        <v>13558.0752822753</v>
      </c>
      <c r="O38" s="66">
        <v>13509.974095577199</v>
      </c>
      <c r="P38" s="66">
        <v>15246.042271500801</v>
      </c>
      <c r="Q38" s="66">
        <v>13903.964515904499</v>
      </c>
      <c r="R38" s="66">
        <v>14469.848077263499</v>
      </c>
      <c r="S38" s="66">
        <v>15551.911045951099</v>
      </c>
      <c r="T38" s="74">
        <v>14066.9561322395</v>
      </c>
      <c r="U38" s="67">
        <v>12910.5785696561</v>
      </c>
    </row>
    <row r="39" spans="1:21" s="28" customFormat="1" ht="12.75" x14ac:dyDescent="0.2">
      <c r="A39" s="42" t="str">
        <f>VLOOKUP("&lt;Zeilentitel_25&gt;",Uebersetzungen!$B$3:$E$60,Uebersetzungen!$B$2+1,FALSE)</f>
        <v>Zentralschweiz</v>
      </c>
      <c r="B39" s="34"/>
      <c r="C39" s="55">
        <v>23229.870098777301</v>
      </c>
      <c r="D39" s="64">
        <v>23827.736688844299</v>
      </c>
      <c r="E39" s="64">
        <v>25038.043011566901</v>
      </c>
      <c r="F39" s="64">
        <v>25285.244967928698</v>
      </c>
      <c r="G39" s="64">
        <v>23502.376464385499</v>
      </c>
      <c r="H39" s="64">
        <v>26239.892168464201</v>
      </c>
      <c r="I39" s="64">
        <v>27599.771504177701</v>
      </c>
      <c r="J39" s="73">
        <v>25538.2636905318</v>
      </c>
      <c r="K39" s="65">
        <v>24075.7339342661</v>
      </c>
      <c r="L39" s="51"/>
      <c r="M39" s="55">
        <v>24473.0469255508</v>
      </c>
      <c r="N39" s="64">
        <v>25294.037306994702</v>
      </c>
      <c r="O39" s="64">
        <v>26385.234471275999</v>
      </c>
      <c r="P39" s="64">
        <v>26694.0932796282</v>
      </c>
      <c r="Q39" s="64">
        <v>24114.397574373601</v>
      </c>
      <c r="R39" s="64">
        <v>26663.686992069899</v>
      </c>
      <c r="S39" s="64">
        <v>28648.5802419926</v>
      </c>
      <c r="T39" s="73">
        <v>26480.261431983301</v>
      </c>
      <c r="U39" s="65">
        <v>25397.0861996846</v>
      </c>
    </row>
    <row r="40" spans="1:21" s="28" customFormat="1" ht="12.75" x14ac:dyDescent="0.2">
      <c r="A40" s="43" t="str">
        <f>VLOOKUP("&lt;Zeilentitel_26&gt;",Uebersetzungen!$B$3:$E$60,Uebersetzungen!$B$2+1,FALSE)</f>
        <v>Luzern</v>
      </c>
      <c r="B40" s="34"/>
      <c r="C40" s="56">
        <v>10360.423013871599</v>
      </c>
      <c r="D40" s="66">
        <v>10902.1549716384</v>
      </c>
      <c r="E40" s="66">
        <v>11424.6080672273</v>
      </c>
      <c r="F40" s="66">
        <v>11126.942966820799</v>
      </c>
      <c r="G40" s="66">
        <v>9137.3561064591995</v>
      </c>
      <c r="H40" s="66">
        <v>11323.675003882099</v>
      </c>
      <c r="I40" s="66">
        <v>12329.110186542999</v>
      </c>
      <c r="J40" s="74">
        <v>10928.750037813201</v>
      </c>
      <c r="K40" s="67">
        <v>10872.686219626299</v>
      </c>
      <c r="L40" s="53"/>
      <c r="M40" s="56">
        <v>12079.4807510593</v>
      </c>
      <c r="N40" s="66">
        <v>12898.0645927527</v>
      </c>
      <c r="O40" s="66">
        <v>13481.006058910199</v>
      </c>
      <c r="P40" s="66">
        <v>12975.824139406899</v>
      </c>
      <c r="Q40" s="66">
        <v>9856.1567200257105</v>
      </c>
      <c r="R40" s="66">
        <v>11647.402610314401</v>
      </c>
      <c r="S40" s="66">
        <v>13684.6777486644</v>
      </c>
      <c r="T40" s="74">
        <v>11977.214081877</v>
      </c>
      <c r="U40" s="67">
        <v>12708.2540198648</v>
      </c>
    </row>
    <row r="41" spans="1:21" s="28" customFormat="1" ht="12.75" x14ac:dyDescent="0.2">
      <c r="A41" s="43" t="str">
        <f>VLOOKUP("&lt;Zeilentitel_30&gt;",Uebersetzungen!$B$3:$E$60,Uebersetzungen!$B$2+1,FALSE)</f>
        <v>Nidwalden</v>
      </c>
      <c r="B41" s="34"/>
      <c r="C41" s="56">
        <v>21729.2296051632</v>
      </c>
      <c r="D41" s="66">
        <v>20471.0177358613</v>
      </c>
      <c r="E41" s="66">
        <v>27866.367138033202</v>
      </c>
      <c r="F41" s="66">
        <v>29632.567060104</v>
      </c>
      <c r="G41" s="66">
        <v>19505.713878194001</v>
      </c>
      <c r="H41" s="66">
        <v>28677.1170505052</v>
      </c>
      <c r="I41" s="66">
        <v>27981.041607581501</v>
      </c>
      <c r="J41" s="74">
        <v>30036.0794025781</v>
      </c>
      <c r="K41" s="67">
        <v>28182.191904633699</v>
      </c>
      <c r="L41" s="53"/>
      <c r="M41" s="56">
        <v>23381.911985858402</v>
      </c>
      <c r="N41" s="66">
        <v>23247.771375869601</v>
      </c>
      <c r="O41" s="66">
        <v>28365.547470001799</v>
      </c>
      <c r="P41" s="66">
        <v>30021.609960523299</v>
      </c>
      <c r="Q41" s="66">
        <v>19690.100384879599</v>
      </c>
      <c r="R41" s="66">
        <v>28766.280854681601</v>
      </c>
      <c r="S41" s="66">
        <v>28638.256127997702</v>
      </c>
      <c r="T41" s="74">
        <v>30967.458475643602</v>
      </c>
      <c r="U41" s="67">
        <v>28476.5648441462</v>
      </c>
    </row>
    <row r="42" spans="1:21" s="28" customFormat="1" ht="12.75" x14ac:dyDescent="0.2">
      <c r="A42" s="43" t="str">
        <f>VLOOKUP("&lt;Zeilentitel_29&gt;",Uebersetzungen!$B$3:$E$60,Uebersetzungen!$B$2+1,FALSE)</f>
        <v>Obwalden</v>
      </c>
      <c r="B42" s="34"/>
      <c r="C42" s="56">
        <v>23369.059413785199</v>
      </c>
      <c r="D42" s="66">
        <v>24350.763545273901</v>
      </c>
      <c r="E42" s="66">
        <v>26270.113890531498</v>
      </c>
      <c r="F42" s="66">
        <v>25965.041019058401</v>
      </c>
      <c r="G42" s="66">
        <v>24438.806180126099</v>
      </c>
      <c r="H42" s="66">
        <v>28011.951024489699</v>
      </c>
      <c r="I42" s="66">
        <v>29284.8408022402</v>
      </c>
      <c r="J42" s="74">
        <v>25183.535414490299</v>
      </c>
      <c r="K42" s="67">
        <v>22886.155238412401</v>
      </c>
      <c r="L42" s="53"/>
      <c r="M42" s="56">
        <v>23811.544919473199</v>
      </c>
      <c r="N42" s="66">
        <v>24681.5439951753</v>
      </c>
      <c r="O42" s="66">
        <v>26730.129058889001</v>
      </c>
      <c r="P42" s="66">
        <v>26104.182243107301</v>
      </c>
      <c r="Q42" s="66">
        <v>24488.377935174001</v>
      </c>
      <c r="R42" s="66">
        <v>28137.465382181399</v>
      </c>
      <c r="S42" s="66">
        <v>29335.538481734999</v>
      </c>
      <c r="T42" s="74">
        <v>25451.9456641332</v>
      </c>
      <c r="U42" s="67">
        <v>23071.8894539053</v>
      </c>
    </row>
    <row r="43" spans="1:21" s="28" customFormat="1" ht="12.75" x14ac:dyDescent="0.2">
      <c r="A43" s="43" t="str">
        <f>VLOOKUP("&lt;Zeilentitel_28&gt;",Uebersetzungen!$B$3:$E$60,Uebersetzungen!$B$2+1,FALSE)</f>
        <v>Schwyz</v>
      </c>
      <c r="B43" s="34"/>
      <c r="C43" s="56">
        <v>9403.6087807403292</v>
      </c>
      <c r="D43" s="66">
        <v>11570.618101668701</v>
      </c>
      <c r="E43" s="66">
        <v>12082.5478138535</v>
      </c>
      <c r="F43" s="66">
        <v>11450.4918463748</v>
      </c>
      <c r="G43" s="66">
        <v>11672.8911974694</v>
      </c>
      <c r="H43" s="66">
        <v>11747.2469646277</v>
      </c>
      <c r="I43" s="66">
        <v>12196.871822519999</v>
      </c>
      <c r="J43" s="74">
        <v>10028.2074178566</v>
      </c>
      <c r="K43" s="67">
        <v>10208.855581059601</v>
      </c>
      <c r="L43" s="53"/>
      <c r="M43" s="56">
        <v>9541.0513328417492</v>
      </c>
      <c r="N43" s="66">
        <v>11699.0996929011</v>
      </c>
      <c r="O43" s="66">
        <v>12181.1546624898</v>
      </c>
      <c r="P43" s="66">
        <v>11618.9537660189</v>
      </c>
      <c r="Q43" s="66">
        <v>11795.592125204699</v>
      </c>
      <c r="R43" s="66">
        <v>11985.294010374901</v>
      </c>
      <c r="S43" s="66">
        <v>12429.535665061199</v>
      </c>
      <c r="T43" s="74">
        <v>10219.191852223301</v>
      </c>
      <c r="U43" s="67">
        <v>10519.284217439401</v>
      </c>
    </row>
    <row r="44" spans="1:21" s="28" customFormat="1" ht="12.75" x14ac:dyDescent="0.2">
      <c r="A44" s="43" t="str">
        <f>VLOOKUP("&lt;Zeilentitel_27&gt;",Uebersetzungen!$B$3:$E$60,Uebersetzungen!$B$2+1,FALSE)</f>
        <v>Uri</v>
      </c>
      <c r="B44" s="34"/>
      <c r="C44" s="56">
        <v>13087.6342144632</v>
      </c>
      <c r="D44" s="66">
        <v>14056.807300056</v>
      </c>
      <c r="E44" s="66">
        <v>15506.711867989799</v>
      </c>
      <c r="F44" s="66">
        <v>14761.160006439801</v>
      </c>
      <c r="G44" s="66">
        <v>14169.772576504</v>
      </c>
      <c r="H44" s="66">
        <v>15126.5668636107</v>
      </c>
      <c r="I44" s="66">
        <v>14762.963787794501</v>
      </c>
      <c r="J44" s="74">
        <v>14220.1308445741</v>
      </c>
      <c r="K44" s="67">
        <v>12742.0042408808</v>
      </c>
      <c r="L44" s="53"/>
      <c r="M44" s="56">
        <v>13215.6076438649</v>
      </c>
      <c r="N44" s="66">
        <v>14235.0005398392</v>
      </c>
      <c r="O44" s="66">
        <v>15547.0004820535</v>
      </c>
      <c r="P44" s="66">
        <v>14900.6491105929</v>
      </c>
      <c r="Q44" s="66">
        <v>14286.861805566599</v>
      </c>
      <c r="R44" s="66">
        <v>15137.755596924901</v>
      </c>
      <c r="S44" s="66">
        <v>14977.5926494085</v>
      </c>
      <c r="T44" s="74">
        <v>14233.1494257596</v>
      </c>
      <c r="U44" s="67">
        <v>12789.463451755801</v>
      </c>
    </row>
    <row r="45" spans="1:21" s="28" customFormat="1" ht="12.75" x14ac:dyDescent="0.2">
      <c r="A45" s="43" t="str">
        <f>VLOOKUP("&lt;Zeilentitel_31&gt;",Uebersetzungen!$B$3:$E$60,Uebersetzungen!$B$2+1,FALSE)</f>
        <v>Zug</v>
      </c>
      <c r="B45" s="34"/>
      <c r="C45" s="56">
        <v>85934.013863194094</v>
      </c>
      <c r="D45" s="66">
        <v>84915.119350916997</v>
      </c>
      <c r="E45" s="66">
        <v>86661.420987328194</v>
      </c>
      <c r="F45" s="66">
        <v>89864.330385206806</v>
      </c>
      <c r="G45" s="66">
        <v>88574.509699032802</v>
      </c>
      <c r="H45" s="66">
        <v>94649.321867088103</v>
      </c>
      <c r="I45" s="66">
        <v>99461.399972392799</v>
      </c>
      <c r="J45" s="74">
        <v>94851.2112251129</v>
      </c>
      <c r="K45" s="67">
        <v>87233.962034272306</v>
      </c>
      <c r="L45" s="53"/>
      <c r="M45" s="56">
        <v>87444.933367733902</v>
      </c>
      <c r="N45" s="66">
        <v>86606.791777199207</v>
      </c>
      <c r="O45" s="66">
        <v>88214.601153873999</v>
      </c>
      <c r="P45" s="66">
        <v>92495.112076496007</v>
      </c>
      <c r="Q45" s="66">
        <v>89909.794729377099</v>
      </c>
      <c r="R45" s="66">
        <v>95950.7408218684</v>
      </c>
      <c r="S45" s="66">
        <v>101207.406762688</v>
      </c>
      <c r="T45" s="74">
        <v>96863.863746218703</v>
      </c>
      <c r="U45" s="67">
        <v>89197.661350693204</v>
      </c>
    </row>
    <row r="46" spans="1:21" s="28" customFormat="1" ht="12.75" x14ac:dyDescent="0.2">
      <c r="A46" s="42" t="str">
        <f>VLOOKUP("&lt;Zeilentitel_32&gt;",Uebersetzungen!$B$3:$E$60,Uebersetzungen!$B$2+1,FALSE)</f>
        <v>Tessin</v>
      </c>
      <c r="B46" s="34"/>
      <c r="C46" s="55">
        <v>18271.231145955098</v>
      </c>
      <c r="D46" s="64">
        <v>17278.8483686131</v>
      </c>
      <c r="E46" s="64">
        <v>18915.058562849001</v>
      </c>
      <c r="F46" s="64">
        <v>17250.921406278099</v>
      </c>
      <c r="G46" s="64">
        <v>16104.876932847499</v>
      </c>
      <c r="H46" s="64">
        <v>16695.610496478999</v>
      </c>
      <c r="I46" s="64">
        <v>18269.0204384793</v>
      </c>
      <c r="J46" s="73">
        <v>17631.8748664302</v>
      </c>
      <c r="K46" s="65">
        <v>17357.109907505899</v>
      </c>
      <c r="L46" s="51"/>
      <c r="M46" s="55">
        <v>138662.09502494501</v>
      </c>
      <c r="N46" s="64">
        <v>119241.86080666</v>
      </c>
      <c r="O46" s="64">
        <v>115744.08507309201</v>
      </c>
      <c r="P46" s="64">
        <v>95465.579244626002</v>
      </c>
      <c r="Q46" s="64">
        <v>127675.203466452</v>
      </c>
      <c r="R46" s="64">
        <v>174445.25558470501</v>
      </c>
      <c r="S46" s="64">
        <v>204236.11373049999</v>
      </c>
      <c r="T46" s="73">
        <v>198951.46653338801</v>
      </c>
      <c r="U46" s="65">
        <v>217750.537492606</v>
      </c>
    </row>
    <row r="47" spans="1:21" s="28" customFormat="1" ht="13.5" thickBot="1" x14ac:dyDescent="0.25">
      <c r="A47" s="44" t="str">
        <f>VLOOKUP("&lt;Zeilentitel_32&gt;",Uebersetzungen!$B$3:$E$60,Uebersetzungen!$B$2+1,FALSE)</f>
        <v>Tessin</v>
      </c>
      <c r="B47" s="34"/>
      <c r="C47" s="58">
        <v>18271.2311459552</v>
      </c>
      <c r="D47" s="70">
        <v>17278.8483686127</v>
      </c>
      <c r="E47" s="70">
        <v>18915.058562848601</v>
      </c>
      <c r="F47" s="70">
        <v>17250.921406277601</v>
      </c>
      <c r="G47" s="70">
        <v>16104.876932847999</v>
      </c>
      <c r="H47" s="70">
        <v>16695.610496479301</v>
      </c>
      <c r="I47" s="70">
        <v>18269.020438479802</v>
      </c>
      <c r="J47" s="76">
        <v>17631.8748664304</v>
      </c>
      <c r="K47" s="71">
        <v>17357.109907506499</v>
      </c>
      <c r="L47" s="51"/>
      <c r="M47" s="58">
        <v>138662.09502494801</v>
      </c>
      <c r="N47" s="70">
        <v>119241.860806661</v>
      </c>
      <c r="O47" s="70">
        <v>115744.085073093</v>
      </c>
      <c r="P47" s="70">
        <v>95465.579244624794</v>
      </c>
      <c r="Q47" s="70">
        <v>127675.203466454</v>
      </c>
      <c r="R47" s="70">
        <v>174445.25558470201</v>
      </c>
      <c r="S47" s="70">
        <v>204236.113730499</v>
      </c>
      <c r="T47" s="76">
        <v>198951.466533386</v>
      </c>
      <c r="U47" s="71">
        <v>217750.53749259701</v>
      </c>
    </row>
    <row r="48" spans="1:21" s="28" customFormat="1" ht="12.75" x14ac:dyDescent="0.2">
      <c r="A48" s="36"/>
      <c r="B48" s="34"/>
      <c r="C48" s="13"/>
      <c r="D48" s="13"/>
      <c r="E48" s="13"/>
      <c r="F48" s="13"/>
      <c r="G48" s="13"/>
      <c r="H48" s="13"/>
      <c r="I48" s="13"/>
      <c r="J48" s="13"/>
      <c r="K48" s="13"/>
      <c r="L48" s="51"/>
      <c r="M48" s="13"/>
      <c r="N48" s="13"/>
      <c r="O48" s="13"/>
      <c r="P48" s="13"/>
      <c r="Q48" s="13"/>
      <c r="R48" s="13"/>
      <c r="S48" s="13"/>
      <c r="T48" s="13"/>
    </row>
    <row r="49" spans="1:20" s="28" customFormat="1" ht="12.75" x14ac:dyDescent="0.2">
      <c r="A49" s="60" t="str">
        <f>VLOOKUP("&lt;Legende_1&gt;",Uebersetzungen!$B$3:$E$326,Uebersetzungen!$B$2+1,FALSE)</f>
        <v>* ohne Edelmetalle, Edel- und Schmucksteine, Kunstgegenstände und Antiquitäten</v>
      </c>
      <c r="B49" s="34"/>
      <c r="C49" s="13"/>
      <c r="D49" s="13"/>
      <c r="E49" s="13"/>
      <c r="F49" s="13"/>
      <c r="G49" s="13"/>
      <c r="H49" s="13"/>
      <c r="I49" s="13"/>
      <c r="J49" s="13"/>
      <c r="K49" s="13"/>
      <c r="L49" s="51"/>
      <c r="M49" s="13"/>
      <c r="N49" s="13"/>
      <c r="O49" s="13"/>
      <c r="P49" s="13"/>
      <c r="Q49" s="13"/>
      <c r="R49" s="13"/>
      <c r="S49" s="13"/>
      <c r="T49" s="13"/>
    </row>
    <row r="50" spans="1:20" s="28" customFormat="1" ht="12.75" x14ac:dyDescent="0.2">
      <c r="A50" s="5"/>
      <c r="B50" s="40"/>
      <c r="C50" s="6"/>
      <c r="D50" s="7"/>
      <c r="E50" s="7"/>
      <c r="F50" s="7"/>
      <c r="G50" s="7"/>
      <c r="H50" s="7"/>
      <c r="I50" s="7"/>
      <c r="J50" s="7"/>
      <c r="K50" s="7"/>
      <c r="L50" s="40"/>
      <c r="M50" s="6"/>
      <c r="N50" s="7"/>
      <c r="O50" s="7"/>
      <c r="P50" s="7"/>
      <c r="Q50" s="7"/>
      <c r="R50" s="7"/>
      <c r="S50" s="7"/>
      <c r="T50" s="7"/>
    </row>
    <row r="51" spans="1:20" s="28" customFormat="1" ht="12.75" x14ac:dyDescent="0.2">
      <c r="A51" s="9" t="str">
        <f>VLOOKUP("&lt;quelle_1&gt;",Uebersetzungen!$B$3:$E$60,Uebersetzungen!$B$2+1,FALSE)</f>
        <v>Quelle: Eidgenössische Zollverwaltung (Aussenhandelsstatistik)</v>
      </c>
      <c r="B51" s="39"/>
      <c r="C51" s="8"/>
      <c r="D51" s="8"/>
      <c r="E51" s="8"/>
      <c r="F51" s="8"/>
      <c r="G51" s="8"/>
      <c r="H51" s="8"/>
      <c r="I51" s="8"/>
      <c r="J51" s="8"/>
      <c r="K51" s="8"/>
      <c r="L51" s="39"/>
      <c r="M51" s="8"/>
      <c r="N51" s="8"/>
      <c r="O51" s="8"/>
      <c r="P51" s="8"/>
      <c r="Q51" s="8"/>
      <c r="R51" s="8"/>
      <c r="S51" s="8"/>
      <c r="T51" s="8"/>
    </row>
    <row r="52" spans="1:20" s="28" customFormat="1" ht="12.75" x14ac:dyDescent="0.2">
      <c r="A52" s="8" t="str">
        <f>VLOOKUP("&lt;aktualisierung&gt;",Uebersetzungen!$B$3:$E$204,Uebersetzungen!$B$2+1,FALSE)</f>
        <v>Letztmals aktualisiert am: 09.07.2025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</sheetData>
  <sheetProtection sheet="1" objects="1" scenarios="1"/>
  <mergeCells count="3">
    <mergeCell ref="A7:D7"/>
    <mergeCell ref="C12:K12"/>
    <mergeCell ref="M12:U12"/>
  </mergeCells>
  <pageMargins left="0.7" right="0.7" top="0.75" bottom="0.75" header="0.3" footer="0.3"/>
  <pageSetup paperSize="9" scale="3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6321" r:id="rId4" name="Option Button 1">
              <controlPr defaultSize="0" autoFill="0" autoLine="0" autoPict="0">
                <anchor moveWithCells="1">
                  <from>
                    <xdr:col>5</xdr:col>
                    <xdr:colOff>381000</xdr:colOff>
                    <xdr:row>1</xdr:row>
                    <xdr:rowOff>114300</xdr:rowOff>
                  </from>
                  <to>
                    <xdr:col>6</xdr:col>
                    <xdr:colOff>438150</xdr:colOff>
                    <xdr:row>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2" r:id="rId5" name="Option Button 2">
              <controlPr defaultSize="0" autoFill="0" autoLine="0" autoPict="0">
                <anchor moveWithCells="1">
                  <from>
                    <xdr:col>5</xdr:col>
                    <xdr:colOff>381000</xdr:colOff>
                    <xdr:row>2</xdr:row>
                    <xdr:rowOff>114300</xdr:rowOff>
                  </from>
                  <to>
                    <xdr:col>6</xdr:col>
                    <xdr:colOff>828675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3" r:id="rId6" name="Option Button 3">
              <controlPr defaultSize="0" autoFill="0" autoLine="0" autoPict="0">
                <anchor moveWithCells="1">
                  <from>
                    <xdr:col>5</xdr:col>
                    <xdr:colOff>381000</xdr:colOff>
                    <xdr:row>3</xdr:row>
                    <xdr:rowOff>95250</xdr:rowOff>
                  </from>
                  <to>
                    <xdr:col>6</xdr:col>
                    <xdr:colOff>438150</xdr:colOff>
                    <xdr:row>4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2"/>
  <sheetViews>
    <sheetView showGridLines="0" zoomScaleNormal="100" workbookViewId="0"/>
  </sheetViews>
  <sheetFormatPr baseColWidth="10" defaultColWidth="9.140625" defaultRowHeight="14.25" x14ac:dyDescent="0.2"/>
  <cols>
    <col min="1" max="1" width="25.85546875" style="25" customWidth="1"/>
    <col min="2" max="2" width="3.85546875" style="25" customWidth="1"/>
    <col min="3" max="11" width="16.7109375" style="25" customWidth="1"/>
    <col min="12" max="12" width="3.85546875" style="25" customWidth="1"/>
    <col min="13" max="20" width="16.7109375" style="25" customWidth="1"/>
    <col min="21" max="21" width="16.7109375" style="29" customWidth="1"/>
    <col min="22" max="16384" width="9.140625" style="29"/>
  </cols>
  <sheetData>
    <row r="1" spans="1:21" s="27" customFormat="1" ht="12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1" s="27" customFormat="1" x14ac:dyDescent="0.2">
      <c r="A2" s="1"/>
      <c r="B2" s="1"/>
      <c r="C2" s="25"/>
      <c r="D2" s="25"/>
      <c r="E2" s="25"/>
      <c r="F2" s="25"/>
      <c r="G2" s="25"/>
      <c r="H2" s="25"/>
      <c r="I2" s="1"/>
      <c r="J2" s="1"/>
      <c r="K2" s="1"/>
      <c r="L2" s="1"/>
      <c r="M2" s="25"/>
      <c r="N2" s="25"/>
      <c r="O2" s="25"/>
      <c r="P2" s="25"/>
      <c r="Q2" s="25"/>
      <c r="R2" s="25"/>
      <c r="S2" s="1"/>
      <c r="T2" s="1"/>
    </row>
    <row r="3" spans="1:21" s="27" customFormat="1" x14ac:dyDescent="0.2">
      <c r="A3" s="1"/>
      <c r="B3" s="1"/>
      <c r="C3" s="25"/>
      <c r="D3" s="25"/>
      <c r="E3" s="25"/>
      <c r="F3" s="25"/>
      <c r="G3" s="25"/>
      <c r="H3" s="25"/>
      <c r="I3" s="1"/>
      <c r="J3" s="1"/>
      <c r="K3" s="1"/>
      <c r="L3" s="1"/>
      <c r="M3" s="25"/>
      <c r="N3" s="25"/>
      <c r="O3" s="25"/>
      <c r="P3" s="25"/>
      <c r="Q3" s="25"/>
      <c r="R3" s="25"/>
      <c r="S3" s="1"/>
      <c r="T3" s="1"/>
    </row>
    <row r="4" spans="1:21" s="27" customFormat="1" x14ac:dyDescent="0.2">
      <c r="A4" s="1"/>
      <c r="B4" s="1"/>
      <c r="C4" s="25"/>
      <c r="D4" s="25"/>
      <c r="E4" s="25"/>
      <c r="F4" s="25"/>
      <c r="G4" s="25"/>
      <c r="H4" s="25"/>
      <c r="I4" s="1"/>
      <c r="J4" s="1"/>
      <c r="K4" s="1"/>
      <c r="L4" s="1"/>
      <c r="M4" s="25"/>
      <c r="N4" s="25"/>
      <c r="O4" s="25"/>
      <c r="P4" s="25"/>
      <c r="Q4" s="25"/>
      <c r="R4" s="25"/>
      <c r="S4" s="1"/>
      <c r="T4" s="1"/>
    </row>
    <row r="5" spans="1:21" s="27" customFormat="1" ht="12.7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1" s="27" customFormat="1" ht="12.7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1" s="27" customFormat="1" ht="15.75" customHeight="1" x14ac:dyDescent="0.2">
      <c r="A7" s="79" t="str">
        <f>VLOOKUP("&lt;Fachbereich&gt;",Uebersetzungen!$B$3:$E$60,Uebersetzungen!$B$2+1,FALSE)</f>
        <v>Daten &amp; Statistik</v>
      </c>
      <c r="B7" s="79"/>
      <c r="C7" s="79"/>
      <c r="D7" s="79"/>
      <c r="E7" s="32"/>
      <c r="F7" s="59"/>
      <c r="G7" s="59"/>
      <c r="H7" s="59"/>
      <c r="I7" s="2"/>
      <c r="J7" s="2"/>
      <c r="K7" s="2"/>
      <c r="L7" s="33"/>
      <c r="O7" s="32"/>
      <c r="P7" s="59"/>
      <c r="Q7" s="59"/>
      <c r="R7" s="59"/>
      <c r="S7" s="2"/>
      <c r="T7" s="2"/>
    </row>
    <row r="8" spans="1:21" s="27" customFormat="1" ht="12.7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1" s="28" customFormat="1" ht="18" x14ac:dyDescent="0.2">
      <c r="A9" s="11" t="str">
        <f>VLOOKUP("&lt;T3Titel&gt;",Uebersetzungen!$B$3:$E$334,Uebersetzungen!$B$2+1,FALSE)</f>
        <v>Exporte pro Kopf in der Schweiz nach Grossregion und Kanton (inkl. Fürstentum Liechtenstein) seit 2016</v>
      </c>
      <c r="B9" s="37"/>
      <c r="C9" s="26"/>
      <c r="D9" s="26"/>
      <c r="E9" s="26"/>
      <c r="F9" s="26"/>
      <c r="G9" s="26"/>
      <c r="H9" s="26"/>
      <c r="I9" s="26"/>
      <c r="J9" s="26"/>
      <c r="K9" s="26"/>
      <c r="L9" s="37"/>
      <c r="M9" s="26"/>
      <c r="N9" s="26"/>
      <c r="O9" s="26"/>
      <c r="P9" s="26"/>
      <c r="Q9" s="26"/>
      <c r="R9" s="26"/>
      <c r="S9" s="26"/>
      <c r="T9" s="26"/>
    </row>
    <row r="10" spans="1:21" s="28" customFormat="1" ht="12.75" x14ac:dyDescent="0.2">
      <c r="A10" s="12" t="str">
        <f>VLOOKUP("&lt;T3UTitel&gt;",Uebersetzungen!$B$3:$E$302,Uebersetzungen!$B$2+1,FALSE)</f>
        <v>Wert in Franken</v>
      </c>
      <c r="B10" s="38"/>
      <c r="C10" s="26"/>
      <c r="D10" s="26"/>
      <c r="E10" s="26"/>
      <c r="F10" s="26"/>
      <c r="G10" s="26"/>
      <c r="H10" s="26"/>
      <c r="I10" s="26"/>
      <c r="J10" s="26"/>
      <c r="K10" s="26"/>
      <c r="L10" s="38"/>
      <c r="M10" s="26"/>
      <c r="N10" s="26"/>
      <c r="O10" s="26"/>
      <c r="P10" s="26"/>
      <c r="Q10" s="26"/>
      <c r="R10" s="26"/>
      <c r="S10" s="26"/>
      <c r="T10" s="26"/>
    </row>
    <row r="11" spans="1:21" ht="18.75" thickBot="1" x14ac:dyDescent="0.3">
      <c r="C11" s="10"/>
      <c r="D11" s="4"/>
      <c r="E11" s="4"/>
      <c r="F11" s="4"/>
      <c r="G11" s="4"/>
      <c r="H11" s="4"/>
      <c r="I11" s="4"/>
      <c r="J11" s="4"/>
      <c r="K11" s="4"/>
      <c r="M11" s="10"/>
      <c r="N11" s="4"/>
      <c r="O11" s="4"/>
      <c r="P11" s="4"/>
      <c r="Q11" s="4"/>
      <c r="R11" s="4"/>
      <c r="S11" s="4"/>
      <c r="T11" s="4"/>
    </row>
    <row r="12" spans="1:21" s="30" customFormat="1" ht="37.5" customHeight="1" thickBot="1" x14ac:dyDescent="0.3">
      <c r="A12" s="3"/>
      <c r="B12" s="3"/>
      <c r="C12" s="80" t="str">
        <f>VLOOKUP("&lt;SpaltenTitel_1&gt;",Uebersetzungen!$B$3:$E$334,Uebersetzungen!$B$2+1,FALSE)</f>
        <v>Konjunkturelles Total*</v>
      </c>
      <c r="D12" s="81"/>
      <c r="E12" s="81"/>
      <c r="F12" s="81"/>
      <c r="G12" s="81"/>
      <c r="H12" s="81"/>
      <c r="I12" s="81"/>
      <c r="J12" s="81"/>
      <c r="K12" s="82"/>
      <c r="L12" s="3"/>
      <c r="M12" s="80" t="str">
        <f>VLOOKUP("&lt;SpaltenTitel_2&gt;",Uebersetzungen!$B$3:$E$334,Uebersetzungen!$B$2+1,FALSE)</f>
        <v>Gesamttotal</v>
      </c>
      <c r="N12" s="81"/>
      <c r="O12" s="81"/>
      <c r="P12" s="81"/>
      <c r="Q12" s="81"/>
      <c r="R12" s="81"/>
      <c r="S12" s="81"/>
      <c r="T12" s="81"/>
      <c r="U12" s="85"/>
    </row>
    <row r="13" spans="1:21" s="30" customFormat="1" ht="30" customHeight="1" thickBot="1" x14ac:dyDescent="0.3">
      <c r="A13" s="34"/>
      <c r="B13" s="34"/>
      <c r="C13" s="45">
        <v>2016</v>
      </c>
      <c r="D13" s="48">
        <v>2017</v>
      </c>
      <c r="E13" s="77">
        <v>2018</v>
      </c>
      <c r="F13" s="49">
        <v>2019</v>
      </c>
      <c r="G13" s="49">
        <v>2020</v>
      </c>
      <c r="H13" s="49">
        <v>2021</v>
      </c>
      <c r="I13" s="49">
        <v>2022</v>
      </c>
      <c r="J13" s="48">
        <v>2023</v>
      </c>
      <c r="K13" s="78">
        <v>2024</v>
      </c>
      <c r="L13" s="34"/>
      <c r="M13" s="45">
        <v>2016</v>
      </c>
      <c r="N13" s="48">
        <v>2017</v>
      </c>
      <c r="O13" s="77">
        <v>2018</v>
      </c>
      <c r="P13" s="49">
        <v>2019</v>
      </c>
      <c r="Q13" s="49">
        <v>2020</v>
      </c>
      <c r="R13" s="49">
        <v>2021</v>
      </c>
      <c r="S13" s="49">
        <v>2022</v>
      </c>
      <c r="T13" s="48">
        <v>2023</v>
      </c>
      <c r="U13" s="78">
        <v>2024</v>
      </c>
    </row>
    <row r="14" spans="1:21" s="28" customFormat="1" ht="12.75" x14ac:dyDescent="0.2">
      <c r="A14" s="41"/>
      <c r="B14" s="35"/>
      <c r="C14" s="61"/>
      <c r="D14" s="62"/>
      <c r="E14" s="62"/>
      <c r="F14" s="62"/>
      <c r="G14" s="62"/>
      <c r="H14" s="62"/>
      <c r="I14" s="62"/>
      <c r="J14" s="72"/>
      <c r="K14" s="63"/>
      <c r="L14" s="50"/>
      <c r="M14" s="61"/>
      <c r="N14" s="62"/>
      <c r="O14" s="62"/>
      <c r="P14" s="62"/>
      <c r="Q14" s="62"/>
      <c r="R14" s="62"/>
      <c r="S14" s="62"/>
      <c r="T14" s="72"/>
      <c r="U14" s="63"/>
    </row>
    <row r="15" spans="1:21" s="28" customFormat="1" ht="12.75" x14ac:dyDescent="0.2">
      <c r="A15" s="42" t="str">
        <f>VLOOKUP("&lt;Zeilentitel_2&gt;",Uebersetzungen!$B$3:$E$60,Uebersetzungen!$B$2+1,FALSE)</f>
        <v>Genferseeregion</v>
      </c>
      <c r="B15" s="34"/>
      <c r="C15" s="55">
        <v>14056.059177687701</v>
      </c>
      <c r="D15" s="64">
        <v>14415.610431082499</v>
      </c>
      <c r="E15" s="64">
        <v>15159.260368674</v>
      </c>
      <c r="F15" s="64">
        <v>15009.3042137671</v>
      </c>
      <c r="G15" s="64">
        <v>11927.1779885954</v>
      </c>
      <c r="H15" s="64">
        <v>13397.770430938201</v>
      </c>
      <c r="I15" s="64">
        <v>15352.9283194857</v>
      </c>
      <c r="J15" s="73">
        <v>14664.393767673801</v>
      </c>
      <c r="K15" s="65">
        <v>13674.8692063587</v>
      </c>
      <c r="L15" s="51"/>
      <c r="M15" s="55">
        <v>26464.341862624002</v>
      </c>
      <c r="N15" s="64">
        <v>25078.860090043101</v>
      </c>
      <c r="O15" s="64">
        <v>24401.645262906601</v>
      </c>
      <c r="P15" s="64">
        <v>25417.221400286198</v>
      </c>
      <c r="Q15" s="64">
        <v>24284.823015285499</v>
      </c>
      <c r="R15" s="64">
        <v>18354.228266047099</v>
      </c>
      <c r="S15" s="64">
        <v>21888.834142482399</v>
      </c>
      <c r="T15" s="73">
        <v>19340.292747765499</v>
      </c>
      <c r="U15" s="65">
        <v>18484.211705407899</v>
      </c>
    </row>
    <row r="16" spans="1:21" s="28" customFormat="1" ht="12.75" x14ac:dyDescent="0.2">
      <c r="A16" s="43" t="str">
        <f>VLOOKUP("&lt;Zeilentitel_5&gt;",Uebersetzungen!$B$3:$E$60,Uebersetzungen!$B$2+1,FALSE)</f>
        <v>Genf</v>
      </c>
      <c r="B16" s="34"/>
      <c r="C16" s="56">
        <v>23016.511816490001</v>
      </c>
      <c r="D16" s="66">
        <v>23272.2325649747</v>
      </c>
      <c r="E16" s="66">
        <v>25155.599098521601</v>
      </c>
      <c r="F16" s="66">
        <v>25078.914814695101</v>
      </c>
      <c r="G16" s="66">
        <v>18279.095832041301</v>
      </c>
      <c r="H16" s="66">
        <v>19801.771692627699</v>
      </c>
      <c r="I16" s="66">
        <v>22555.727034553001</v>
      </c>
      <c r="J16" s="74">
        <v>22140.018663637398</v>
      </c>
      <c r="K16" s="67">
        <v>21145.747743228501</v>
      </c>
      <c r="L16" s="52"/>
      <c r="M16" s="56">
        <v>62879.779435097102</v>
      </c>
      <c r="N16" s="66">
        <v>57447.966454826899</v>
      </c>
      <c r="O16" s="66">
        <v>54932.759290599803</v>
      </c>
      <c r="P16" s="66">
        <v>58783.039620444899</v>
      </c>
      <c r="Q16" s="66">
        <v>58445.412383125797</v>
      </c>
      <c r="R16" s="66">
        <v>35387.3764627864</v>
      </c>
      <c r="S16" s="66">
        <v>43204.342870100299</v>
      </c>
      <c r="T16" s="74">
        <v>36733.672315358403</v>
      </c>
      <c r="U16" s="67">
        <v>36516.618891953098</v>
      </c>
    </row>
    <row r="17" spans="1:21" s="28" customFormat="1" ht="12.75" x14ac:dyDescent="0.2">
      <c r="A17" s="43" t="str">
        <f>VLOOKUP("&lt;Zeilentitel_3&gt;",Uebersetzungen!$B$3:$E$60,Uebersetzungen!$B$2+1,FALSE)</f>
        <v>Waadt</v>
      </c>
      <c r="B17" s="34"/>
      <c r="C17" s="56">
        <v>11472.822338091701</v>
      </c>
      <c r="D17" s="66">
        <v>11824.181873170601</v>
      </c>
      <c r="E17" s="66">
        <v>11874.5291880042</v>
      </c>
      <c r="F17" s="66">
        <v>11811.2243717498</v>
      </c>
      <c r="G17" s="66">
        <v>10138.0887428071</v>
      </c>
      <c r="H17" s="66">
        <v>11635.383544886299</v>
      </c>
      <c r="I17" s="66">
        <v>13404.008295371799</v>
      </c>
      <c r="J17" s="74">
        <v>12186.831784486099</v>
      </c>
      <c r="K17" s="67">
        <v>11635.9665634874</v>
      </c>
      <c r="L17" s="52"/>
      <c r="M17" s="56">
        <v>12079.0931308092</v>
      </c>
      <c r="N17" s="66">
        <v>12308.7004992814</v>
      </c>
      <c r="O17" s="66">
        <v>12226.5153130049</v>
      </c>
      <c r="P17" s="66">
        <v>12059.125115807499</v>
      </c>
      <c r="Q17" s="66">
        <v>10392.3904017161</v>
      </c>
      <c r="R17" s="66">
        <v>12025.6263441217</v>
      </c>
      <c r="S17" s="66">
        <v>13938.9256012555</v>
      </c>
      <c r="T17" s="74">
        <v>12570.777274517</v>
      </c>
      <c r="U17" s="67">
        <v>11913.558289873399</v>
      </c>
    </row>
    <row r="18" spans="1:21" s="28" customFormat="1" ht="12.75" x14ac:dyDescent="0.2">
      <c r="A18" s="43" t="str">
        <f>VLOOKUP("&lt;Zeilentitel_4&gt;",Uebersetzungen!$B$3:$E$60,Uebersetzungen!$B$2+1,FALSE)</f>
        <v>Wallis</v>
      </c>
      <c r="B18" s="34"/>
      <c r="C18" s="56">
        <v>7101.8941412846198</v>
      </c>
      <c r="D18" s="66">
        <v>7589.4063782862304</v>
      </c>
      <c r="E18" s="66">
        <v>8275.1061820301802</v>
      </c>
      <c r="F18" s="66">
        <v>7767.1802594601404</v>
      </c>
      <c r="G18" s="66">
        <v>6879.7413054318304</v>
      </c>
      <c r="H18" s="66">
        <v>8267.8866563117008</v>
      </c>
      <c r="I18" s="66">
        <v>9517.8818547213505</v>
      </c>
      <c r="J18" s="74">
        <v>9643.9811170632001</v>
      </c>
      <c r="K18" s="67">
        <v>7659.7538939890001</v>
      </c>
      <c r="L18" s="52"/>
      <c r="M18" s="56">
        <v>7197.9477560581799</v>
      </c>
      <c r="N18" s="66">
        <v>7793.2869767048296</v>
      </c>
      <c r="O18" s="66">
        <v>8354.8339945162097</v>
      </c>
      <c r="P18" s="66">
        <v>7854.6812585857997</v>
      </c>
      <c r="Q18" s="66">
        <v>7121.0799236215798</v>
      </c>
      <c r="R18" s="66">
        <v>8534.0887141856692</v>
      </c>
      <c r="S18" s="66">
        <v>9694.4183515816203</v>
      </c>
      <c r="T18" s="74">
        <v>9986.0978860873602</v>
      </c>
      <c r="U18" s="67">
        <v>7759.7950552756101</v>
      </c>
    </row>
    <row r="19" spans="1:21" s="28" customFormat="1" ht="12.75" x14ac:dyDescent="0.2">
      <c r="A19" s="42" t="str">
        <f>VLOOKUP("&lt;Zeilentitel_6&gt;",Uebersetzungen!$B$3:$E$60,Uebersetzungen!$B$2+1,FALSE)</f>
        <v>Espace Mittelland</v>
      </c>
      <c r="B19" s="34"/>
      <c r="C19" s="55">
        <v>13263.6168026717</v>
      </c>
      <c r="D19" s="64">
        <v>13856.247602760201</v>
      </c>
      <c r="E19" s="64">
        <v>15140.8136756108</v>
      </c>
      <c r="F19" s="64">
        <v>14602.4347182376</v>
      </c>
      <c r="G19" s="64">
        <v>12707.774510265501</v>
      </c>
      <c r="H19" s="64">
        <v>15113.667880618499</v>
      </c>
      <c r="I19" s="64">
        <v>18734.971439822399</v>
      </c>
      <c r="J19" s="73">
        <v>16450.562534547898</v>
      </c>
      <c r="K19" s="65">
        <v>14999.67747099</v>
      </c>
      <c r="L19" s="51"/>
      <c r="M19" s="55">
        <v>20099.167947543701</v>
      </c>
      <c r="N19" s="64">
        <v>20231.729493784798</v>
      </c>
      <c r="O19" s="64">
        <v>21681.482363119201</v>
      </c>
      <c r="P19" s="64">
        <v>21076.2632416938</v>
      </c>
      <c r="Q19" s="64">
        <v>19575.831118453101</v>
      </c>
      <c r="R19" s="64">
        <v>21365.545899728299</v>
      </c>
      <c r="S19" s="64">
        <v>26386.851951679499</v>
      </c>
      <c r="T19" s="73">
        <v>23601.421700922401</v>
      </c>
      <c r="U19" s="65">
        <v>23140.559921606098</v>
      </c>
    </row>
    <row r="20" spans="1:21" s="28" customFormat="1" ht="12.75" x14ac:dyDescent="0.2">
      <c r="A20" s="43" t="str">
        <f>VLOOKUP("&lt;Zeilentitel_7&gt;",Uebersetzungen!$B$3:$E$60,Uebersetzungen!$B$2+1,FALSE)</f>
        <v>Bern</v>
      </c>
      <c r="B20" s="34"/>
      <c r="C20" s="56">
        <v>10905.442339194</v>
      </c>
      <c r="D20" s="66">
        <v>11550.6439299872</v>
      </c>
      <c r="E20" s="66">
        <v>12693.765092633001</v>
      </c>
      <c r="F20" s="66">
        <v>12214.7078955914</v>
      </c>
      <c r="G20" s="66">
        <v>11433.0077823301</v>
      </c>
      <c r="H20" s="66">
        <v>13695.4302503337</v>
      </c>
      <c r="I20" s="66">
        <v>18462.111758572799</v>
      </c>
      <c r="J20" s="74">
        <v>14976.4503738482</v>
      </c>
      <c r="K20" s="67">
        <v>13748.6370212371</v>
      </c>
      <c r="L20" s="52"/>
      <c r="M20" s="56">
        <v>11170.109552668901</v>
      </c>
      <c r="N20" s="66">
        <v>11860.168855211699</v>
      </c>
      <c r="O20" s="66">
        <v>12919.333361000199</v>
      </c>
      <c r="P20" s="66">
        <v>12401.1327629386</v>
      </c>
      <c r="Q20" s="66">
        <v>11623.242739044999</v>
      </c>
      <c r="R20" s="66">
        <v>14015.149765989599</v>
      </c>
      <c r="S20" s="66">
        <v>18845.911040699</v>
      </c>
      <c r="T20" s="74">
        <v>15488.2021748894</v>
      </c>
      <c r="U20" s="67">
        <v>14097.823147650401</v>
      </c>
    </row>
    <row r="21" spans="1:21" s="28" customFormat="1" ht="12.75" x14ac:dyDescent="0.2">
      <c r="A21" s="43" t="str">
        <f>VLOOKUP("&lt;Zeilentitel_8&gt;",Uebersetzungen!$B$3:$E$60,Uebersetzungen!$B$2+1,FALSE)</f>
        <v>Freiburg</v>
      </c>
      <c r="B21" s="34"/>
      <c r="C21" s="56">
        <v>10535.921604884599</v>
      </c>
      <c r="D21" s="66">
        <v>11374.193002939301</v>
      </c>
      <c r="E21" s="66">
        <v>12436.545304335201</v>
      </c>
      <c r="F21" s="66">
        <v>11620.3312355622</v>
      </c>
      <c r="G21" s="66">
        <v>10325.5760004816</v>
      </c>
      <c r="H21" s="66">
        <v>12226.2237606788</v>
      </c>
      <c r="I21" s="66">
        <v>13077.784586923701</v>
      </c>
      <c r="J21" s="74">
        <v>12281.455267629</v>
      </c>
      <c r="K21" s="67">
        <v>11795.3050439655</v>
      </c>
      <c r="L21" s="52"/>
      <c r="M21" s="56">
        <v>10859.507744270801</v>
      </c>
      <c r="N21" s="66">
        <v>11747.987903954099</v>
      </c>
      <c r="O21" s="66">
        <v>12725.2923310967</v>
      </c>
      <c r="P21" s="66">
        <v>11844.7545358355</v>
      </c>
      <c r="Q21" s="66">
        <v>10485.5354370634</v>
      </c>
      <c r="R21" s="66">
        <v>12482.280033197399</v>
      </c>
      <c r="S21" s="66">
        <v>13376.438168475201</v>
      </c>
      <c r="T21" s="74">
        <v>12508.574071069601</v>
      </c>
      <c r="U21" s="67">
        <v>12005.6197455118</v>
      </c>
    </row>
    <row r="22" spans="1:21" s="28" customFormat="1" ht="12.75" x14ac:dyDescent="0.2">
      <c r="A22" s="43" t="str">
        <f>VLOOKUP("&lt;Zeilentitel_11&gt;",Uebersetzungen!$B$3:$E$60,Uebersetzungen!$B$2+1,FALSE)</f>
        <v>Jura</v>
      </c>
      <c r="B22" s="34"/>
      <c r="C22" s="56">
        <v>15533.9843869259</v>
      </c>
      <c r="D22" s="66">
        <v>17489.0607910123</v>
      </c>
      <c r="E22" s="66">
        <v>17582.200825314201</v>
      </c>
      <c r="F22" s="66">
        <v>17627.103674770999</v>
      </c>
      <c r="G22" s="66">
        <v>13835.049219721001</v>
      </c>
      <c r="H22" s="66">
        <v>16931.251653456999</v>
      </c>
      <c r="I22" s="66">
        <v>19349.2009866318</v>
      </c>
      <c r="J22" s="74">
        <v>19108.456927660998</v>
      </c>
      <c r="K22" s="67">
        <v>17072.399184818601</v>
      </c>
      <c r="L22" s="52"/>
      <c r="M22" s="56">
        <v>17148.968495998401</v>
      </c>
      <c r="N22" s="66">
        <v>21483.105035388999</v>
      </c>
      <c r="O22" s="66">
        <v>27034.1239026119</v>
      </c>
      <c r="P22" s="66">
        <v>26604.709636305</v>
      </c>
      <c r="Q22" s="66">
        <v>22208.373466129</v>
      </c>
      <c r="R22" s="66">
        <v>30605.172295209901</v>
      </c>
      <c r="S22" s="66">
        <v>36089.084790852001</v>
      </c>
      <c r="T22" s="74">
        <v>39766.359263131897</v>
      </c>
      <c r="U22" s="67">
        <v>41855.754290377597</v>
      </c>
    </row>
    <row r="23" spans="1:21" s="28" customFormat="1" ht="12.75" x14ac:dyDescent="0.2">
      <c r="A23" s="43" t="str">
        <f>VLOOKUP("&lt;Zeilentitel_10&gt;",Uebersetzungen!$B$3:$E$60,Uebersetzungen!$B$2+1,FALSE)</f>
        <v>Neuenburg</v>
      </c>
      <c r="B23" s="34"/>
      <c r="C23" s="56">
        <v>27618.311997938199</v>
      </c>
      <c r="D23" s="66">
        <v>27539.243358085201</v>
      </c>
      <c r="E23" s="66">
        <v>30519.6615898048</v>
      </c>
      <c r="F23" s="66">
        <v>30038.596636307899</v>
      </c>
      <c r="G23" s="66">
        <v>19605.3461379197</v>
      </c>
      <c r="H23" s="66">
        <v>22406.9871056384</v>
      </c>
      <c r="I23" s="66">
        <v>24858.4487271652</v>
      </c>
      <c r="J23" s="74">
        <v>27090.331891571001</v>
      </c>
      <c r="K23" s="67">
        <v>24187.136341027701</v>
      </c>
      <c r="L23" s="52"/>
      <c r="M23" s="56">
        <v>95921.586725349494</v>
      </c>
      <c r="N23" s="66">
        <v>90224.288868699907</v>
      </c>
      <c r="O23" s="66">
        <v>94072.012280672701</v>
      </c>
      <c r="P23" s="66">
        <v>93916.419963893204</v>
      </c>
      <c r="Q23" s="66">
        <v>88555.603828129795</v>
      </c>
      <c r="R23" s="66">
        <v>81744.798940944995</v>
      </c>
      <c r="S23" s="66">
        <v>97843.304554993403</v>
      </c>
      <c r="T23" s="74">
        <v>92594.353468965099</v>
      </c>
      <c r="U23" s="67">
        <v>100177.264010136</v>
      </c>
    </row>
    <row r="24" spans="1:21" s="28" customFormat="1" ht="12.75" x14ac:dyDescent="0.2">
      <c r="A24" s="43" t="str">
        <f>VLOOKUP("&lt;Zeilentitel_9&gt;",Uebersetzungen!$B$3:$E$60,Uebersetzungen!$B$2+1,FALSE)</f>
        <v>Solothurn</v>
      </c>
      <c r="B24" s="34"/>
      <c r="C24" s="56">
        <v>15274.8568582104</v>
      </c>
      <c r="D24" s="66">
        <v>15543.8497591182</v>
      </c>
      <c r="E24" s="66">
        <v>16952.8147280267</v>
      </c>
      <c r="F24" s="66">
        <v>16397.663998426699</v>
      </c>
      <c r="G24" s="66">
        <v>15620.952067843</v>
      </c>
      <c r="H24" s="66">
        <v>18748.957578312002</v>
      </c>
      <c r="I24" s="66">
        <v>22461.3579272143</v>
      </c>
      <c r="J24" s="74">
        <v>19557.906548049101</v>
      </c>
      <c r="K24" s="67">
        <v>17216.2744868263</v>
      </c>
      <c r="L24" s="52"/>
      <c r="M24" s="56">
        <v>15358.617229571601</v>
      </c>
      <c r="N24" s="66">
        <v>15653.3123677074</v>
      </c>
      <c r="O24" s="66">
        <v>17018.595461213201</v>
      </c>
      <c r="P24" s="66">
        <v>16438.146696730801</v>
      </c>
      <c r="Q24" s="66">
        <v>15697.209754211401</v>
      </c>
      <c r="R24" s="66">
        <v>18901.7736869767</v>
      </c>
      <c r="S24" s="66">
        <v>22648.834324241801</v>
      </c>
      <c r="T24" s="74">
        <v>19737.337662391299</v>
      </c>
      <c r="U24" s="67">
        <v>17244.632261770399</v>
      </c>
    </row>
    <row r="25" spans="1:21" s="28" customFormat="1" ht="12.75" x14ac:dyDescent="0.2">
      <c r="A25" s="42" t="str">
        <f>VLOOKUP("&lt;Zeilentitel_12&gt;",Uebersetzungen!$B$3:$E$60,Uebersetzungen!$B$2+1,FALSE)</f>
        <v>Nordwestschweiz</v>
      </c>
      <c r="B25" s="34"/>
      <c r="C25" s="55">
        <v>38330.678705810002</v>
      </c>
      <c r="D25" s="64">
        <v>41342.903820578897</v>
      </c>
      <c r="E25" s="64">
        <v>44635.089671405702</v>
      </c>
      <c r="F25" s="64">
        <v>46922.460244374197</v>
      </c>
      <c r="G25" s="64">
        <v>43611.690656211802</v>
      </c>
      <c r="H25" s="64">
        <v>47053.832230494103</v>
      </c>
      <c r="I25" s="64">
        <v>55855.073968285098</v>
      </c>
      <c r="J25" s="73">
        <v>57112.9190041724</v>
      </c>
      <c r="K25" s="65">
        <v>58996.0188074568</v>
      </c>
      <c r="L25" s="51"/>
      <c r="M25" s="55">
        <v>38588.473118743197</v>
      </c>
      <c r="N25" s="64">
        <v>41621.364554641397</v>
      </c>
      <c r="O25" s="64">
        <v>44877.837539808403</v>
      </c>
      <c r="P25" s="64">
        <v>47063.7008358413</v>
      </c>
      <c r="Q25" s="64">
        <v>43889.6380997788</v>
      </c>
      <c r="R25" s="64">
        <v>47387.309319462598</v>
      </c>
      <c r="S25" s="64">
        <v>56298.437454217397</v>
      </c>
      <c r="T25" s="73">
        <v>57527.082103972301</v>
      </c>
      <c r="U25" s="65">
        <v>59216.471168113203</v>
      </c>
    </row>
    <row r="26" spans="1:21" s="28" customFormat="1" ht="12.75" x14ac:dyDescent="0.2">
      <c r="A26" s="43" t="str">
        <f>VLOOKUP("&lt;Zeilentitel_15&gt;",Uebersetzungen!$B$3:$E$60,Uebersetzungen!$B$2+1,FALSE)</f>
        <v>Aargau</v>
      </c>
      <c r="B26" s="34"/>
      <c r="C26" s="56">
        <v>18125.040190016101</v>
      </c>
      <c r="D26" s="66">
        <v>19594.273506225301</v>
      </c>
      <c r="E26" s="66">
        <v>22212.629720281198</v>
      </c>
      <c r="F26" s="66">
        <v>21506.505455318202</v>
      </c>
      <c r="G26" s="66">
        <v>19588.709939971101</v>
      </c>
      <c r="H26" s="66">
        <v>21295.607499356302</v>
      </c>
      <c r="I26" s="66">
        <v>25084.775237026399</v>
      </c>
      <c r="J26" s="74">
        <v>23508.428109320699</v>
      </c>
      <c r="K26" s="67">
        <v>21391.362235254001</v>
      </c>
      <c r="L26" s="53"/>
      <c r="M26" s="56">
        <v>18166.455218179799</v>
      </c>
      <c r="N26" s="66">
        <v>19667.712909328999</v>
      </c>
      <c r="O26" s="66">
        <v>22274.773615747999</v>
      </c>
      <c r="P26" s="66">
        <v>21558.8699575377</v>
      </c>
      <c r="Q26" s="66">
        <v>19653.769741248201</v>
      </c>
      <c r="R26" s="66">
        <v>21411.465406636202</v>
      </c>
      <c r="S26" s="66">
        <v>25262.411994235699</v>
      </c>
      <c r="T26" s="74">
        <v>23659.994686245798</v>
      </c>
      <c r="U26" s="67">
        <v>21468.9845244649</v>
      </c>
    </row>
    <row r="27" spans="1:21" s="28" customFormat="1" ht="12.75" x14ac:dyDescent="0.2">
      <c r="A27" s="43" t="str">
        <f>VLOOKUP("&lt;Zeilentitel_14&gt;",Uebersetzungen!$B$3:$E$60,Uebersetzungen!$B$2+1,FALSE)</f>
        <v>Basel-Landschaft</v>
      </c>
      <c r="B27" s="34"/>
      <c r="C27" s="56">
        <v>18862.486410924401</v>
      </c>
      <c r="D27" s="66">
        <v>20289.898572681399</v>
      </c>
      <c r="E27" s="66">
        <v>22968.584804178699</v>
      </c>
      <c r="F27" s="66">
        <v>21205.649810593</v>
      </c>
      <c r="G27" s="66">
        <v>22225.136725665499</v>
      </c>
      <c r="H27" s="66">
        <v>22902.022783185599</v>
      </c>
      <c r="I27" s="66">
        <v>29051.037112715901</v>
      </c>
      <c r="J27" s="74">
        <v>22916.244017286801</v>
      </c>
      <c r="K27" s="67">
        <v>21360.773863910199</v>
      </c>
      <c r="L27" s="53"/>
      <c r="M27" s="56">
        <v>18917.052675836101</v>
      </c>
      <c r="N27" s="66">
        <v>20389.848270013401</v>
      </c>
      <c r="O27" s="66">
        <v>23087.911512056002</v>
      </c>
      <c r="P27" s="66">
        <v>21290.570709871099</v>
      </c>
      <c r="Q27" s="66">
        <v>22283.0196389757</v>
      </c>
      <c r="R27" s="66">
        <v>22977.1459886095</v>
      </c>
      <c r="S27" s="66">
        <v>29222.563241683001</v>
      </c>
      <c r="T27" s="74">
        <v>23014.126420331799</v>
      </c>
      <c r="U27" s="67">
        <v>21475.127187497899</v>
      </c>
    </row>
    <row r="28" spans="1:21" s="28" customFormat="1" ht="12.75" x14ac:dyDescent="0.2">
      <c r="A28" s="43" t="str">
        <f>VLOOKUP("&lt;Zeilentitel_13&gt;",Uebersetzungen!$B$3:$E$60,Uebersetzungen!$B$2+1,FALSE)</f>
        <v>Basel-Stadt</v>
      </c>
      <c r="B28" s="34"/>
      <c r="C28" s="56">
        <v>136572.93874164499</v>
      </c>
      <c r="D28" s="66">
        <v>147763.302579968</v>
      </c>
      <c r="E28" s="66">
        <v>154774.76315936801</v>
      </c>
      <c r="F28" s="66">
        <v>173944.69343241799</v>
      </c>
      <c r="G28" s="66">
        <v>160015.83475908099</v>
      </c>
      <c r="H28" s="66">
        <v>175558.53584992199</v>
      </c>
      <c r="I28" s="66">
        <v>207220.39694320501</v>
      </c>
      <c r="J28" s="74">
        <v>229703.00859371701</v>
      </c>
      <c r="K28" s="67">
        <v>252396.95778844901</v>
      </c>
      <c r="L28" s="53"/>
      <c r="M28" s="56">
        <v>137875.02264918399</v>
      </c>
      <c r="N28" s="66">
        <v>149015.439625039</v>
      </c>
      <c r="O28" s="66">
        <v>155829.04574518499</v>
      </c>
      <c r="P28" s="66">
        <v>174480.43366779399</v>
      </c>
      <c r="Q28" s="66">
        <v>161370.51680270801</v>
      </c>
      <c r="R28" s="66">
        <v>177058.83213972201</v>
      </c>
      <c r="S28" s="66">
        <v>209031.32604810401</v>
      </c>
      <c r="T28" s="74">
        <v>231539.043299729</v>
      </c>
      <c r="U28" s="67">
        <v>253296.90139579299</v>
      </c>
    </row>
    <row r="29" spans="1:21" s="28" customFormat="1" ht="12.75" x14ac:dyDescent="0.2">
      <c r="A29" s="42" t="str">
        <f>VLOOKUP("&lt;Zeilentitel_16&gt;",Uebersetzungen!$B$3:$E$60,Uebersetzungen!$B$2+1,FALSE)</f>
        <v>Zürich</v>
      </c>
      <c r="B29" s="34"/>
      <c r="C29" s="55">
        <v>23264.2592680284</v>
      </c>
      <c r="D29" s="64">
        <v>23739.948724010399</v>
      </c>
      <c r="E29" s="64">
        <v>24800.205884025701</v>
      </c>
      <c r="F29" s="64">
        <v>24663.9371047348</v>
      </c>
      <c r="G29" s="64">
        <v>21969.5516760178</v>
      </c>
      <c r="H29" s="64">
        <v>23416.660804826999</v>
      </c>
      <c r="I29" s="64">
        <v>26941.297203473801</v>
      </c>
      <c r="J29" s="73">
        <v>24589.052994622401</v>
      </c>
      <c r="K29" s="65">
        <v>23270.529635892199</v>
      </c>
      <c r="L29" s="51"/>
      <c r="M29" s="55">
        <v>29849.552618282301</v>
      </c>
      <c r="N29" s="64">
        <v>30658.9331039143</v>
      </c>
      <c r="O29" s="64">
        <v>34533.002182035299</v>
      </c>
      <c r="P29" s="64">
        <v>31628.482699934</v>
      </c>
      <c r="Q29" s="64">
        <v>32696.840013683501</v>
      </c>
      <c r="R29" s="64">
        <v>42078.378249369503</v>
      </c>
      <c r="S29" s="64">
        <v>39991.517111798697</v>
      </c>
      <c r="T29" s="73">
        <v>37969.105520056502</v>
      </c>
      <c r="U29" s="65">
        <v>35933.351249292602</v>
      </c>
    </row>
    <row r="30" spans="1:21" s="28" customFormat="1" ht="12.75" x14ac:dyDescent="0.2">
      <c r="A30" s="43" t="str">
        <f>VLOOKUP("&lt;Zeilentitel_16&gt;",Uebersetzungen!$B$3:$E$60,Uebersetzungen!$B$2+1,FALSE)</f>
        <v>Zürich</v>
      </c>
      <c r="B30" s="34"/>
      <c r="C30" s="56">
        <v>23264.2592680284</v>
      </c>
      <c r="D30" s="66">
        <v>23739.948724010799</v>
      </c>
      <c r="E30" s="66">
        <v>24800.205884026698</v>
      </c>
      <c r="F30" s="66">
        <v>24663.937104735</v>
      </c>
      <c r="G30" s="66">
        <v>21969.5516760176</v>
      </c>
      <c r="H30" s="66">
        <v>23416.660804829</v>
      </c>
      <c r="I30" s="66">
        <v>26941.297203472099</v>
      </c>
      <c r="J30" s="74">
        <v>24589.052994622201</v>
      </c>
      <c r="K30" s="67">
        <v>23270.529635891799</v>
      </c>
      <c r="L30" s="51"/>
      <c r="M30" s="56">
        <v>29849.552618281999</v>
      </c>
      <c r="N30" s="66">
        <v>30658.9331039141</v>
      </c>
      <c r="O30" s="66">
        <v>34533.002182034099</v>
      </c>
      <c r="P30" s="66">
        <v>31628.482699934801</v>
      </c>
      <c r="Q30" s="66">
        <v>32696.840013684301</v>
      </c>
      <c r="R30" s="66">
        <v>42078.378249369001</v>
      </c>
      <c r="S30" s="66">
        <v>39991.517111798501</v>
      </c>
      <c r="T30" s="74">
        <v>37969.105520055302</v>
      </c>
      <c r="U30" s="67">
        <v>35933.351249296204</v>
      </c>
    </row>
    <row r="31" spans="1:21" s="28" customFormat="1" ht="12.75" x14ac:dyDescent="0.2">
      <c r="A31" s="42" t="str">
        <f>VLOOKUP("&lt;Zeilentitel_17&gt;",Uebersetzungen!$B$3:$E$60,Uebersetzungen!$B$2+1,FALSE)</f>
        <v>Ostschweiz</v>
      </c>
      <c r="B31" s="34"/>
      <c r="C31" s="55">
        <v>14134.860690125999</v>
      </c>
      <c r="D31" s="64">
        <v>15319.5632607934</v>
      </c>
      <c r="E31" s="64">
        <v>16439.086620672399</v>
      </c>
      <c r="F31" s="64">
        <v>15971.171689659601</v>
      </c>
      <c r="G31" s="64">
        <v>14858.926512353701</v>
      </c>
      <c r="H31" s="64">
        <v>16881.488483690599</v>
      </c>
      <c r="I31" s="64">
        <v>18716.487283206599</v>
      </c>
      <c r="J31" s="73">
        <v>16626.697466297199</v>
      </c>
      <c r="K31" s="65">
        <v>15988.651075747999</v>
      </c>
      <c r="L31" s="51"/>
      <c r="M31" s="55">
        <v>14433.974475700001</v>
      </c>
      <c r="N31" s="64">
        <v>15624.341988599999</v>
      </c>
      <c r="O31" s="64">
        <v>16690.987257584999</v>
      </c>
      <c r="P31" s="64">
        <v>16180.3045746593</v>
      </c>
      <c r="Q31" s="64">
        <v>15088.7512893863</v>
      </c>
      <c r="R31" s="64">
        <v>17258.8601017859</v>
      </c>
      <c r="S31" s="64">
        <v>19283.273363155</v>
      </c>
      <c r="T31" s="73">
        <v>16976.629932187301</v>
      </c>
      <c r="U31" s="65">
        <v>16177.160283258099</v>
      </c>
    </row>
    <row r="32" spans="1:21" s="28" customFormat="1" ht="12.75" x14ac:dyDescent="0.2">
      <c r="A32" s="43" t="str">
        <f>VLOOKUP("&lt;Zeilentitel_21&gt;",Uebersetzungen!$B$3:$E$60,Uebersetzungen!$B$2+1,FALSE)</f>
        <v>Appenzell Innerrhoden</v>
      </c>
      <c r="B32" s="34"/>
      <c r="C32" s="56">
        <v>10448.03902165</v>
      </c>
      <c r="D32" s="66">
        <v>11088.755558554099</v>
      </c>
      <c r="E32" s="66">
        <v>12417.8176075348</v>
      </c>
      <c r="F32" s="66">
        <v>12602.546180375501</v>
      </c>
      <c r="G32" s="66">
        <v>13148.3334640392</v>
      </c>
      <c r="H32" s="66">
        <v>16067.903622882701</v>
      </c>
      <c r="I32" s="66">
        <v>20143.451315390499</v>
      </c>
      <c r="J32" s="74">
        <v>18832.821138062402</v>
      </c>
      <c r="K32" s="67">
        <v>22033.781117502</v>
      </c>
      <c r="L32" s="54"/>
      <c r="M32" s="56">
        <v>10481.036333518299</v>
      </c>
      <c r="N32" s="66">
        <v>11157.506026417301</v>
      </c>
      <c r="O32" s="66">
        <v>12511.128414741201</v>
      </c>
      <c r="P32" s="66">
        <v>12638.901998208699</v>
      </c>
      <c r="Q32" s="66">
        <v>13167.3382071737</v>
      </c>
      <c r="R32" s="66">
        <v>16353.750812389801</v>
      </c>
      <c r="S32" s="66">
        <v>20177.146385569598</v>
      </c>
      <c r="T32" s="74">
        <v>18928.674663392601</v>
      </c>
      <c r="U32" s="67">
        <v>22102.448813106501</v>
      </c>
    </row>
    <row r="33" spans="1:21" s="28" customFormat="1" ht="12.75" x14ac:dyDescent="0.2">
      <c r="A33" s="43" t="str">
        <f>VLOOKUP("&lt;Zeilentitel_20&gt;",Uebersetzungen!$B$3:$E$60,Uebersetzungen!$B$2+1,FALSE)</f>
        <v>Appenzell Ausserrhoden</v>
      </c>
      <c r="B33" s="34"/>
      <c r="C33" s="56">
        <v>8501.8086813159298</v>
      </c>
      <c r="D33" s="66">
        <v>8935.2215580293505</v>
      </c>
      <c r="E33" s="66">
        <v>9774.2829295383908</v>
      </c>
      <c r="F33" s="66">
        <v>8771.1118628021195</v>
      </c>
      <c r="G33" s="66">
        <v>8234.9502405581097</v>
      </c>
      <c r="H33" s="66">
        <v>8756.0698379669702</v>
      </c>
      <c r="I33" s="66">
        <v>10208.757192069799</v>
      </c>
      <c r="J33" s="74">
        <v>8543.5234909188493</v>
      </c>
      <c r="K33" s="67">
        <v>7767.5139033649502</v>
      </c>
      <c r="L33" s="53"/>
      <c r="M33" s="56">
        <v>8585.9339964697101</v>
      </c>
      <c r="N33" s="66">
        <v>9174.1488688116406</v>
      </c>
      <c r="O33" s="66">
        <v>9818.8836234842001</v>
      </c>
      <c r="P33" s="66">
        <v>8840.0730089636199</v>
      </c>
      <c r="Q33" s="66">
        <v>8370.6957177616005</v>
      </c>
      <c r="R33" s="66">
        <v>8872.3930406042</v>
      </c>
      <c r="S33" s="66">
        <v>10329.2607234101</v>
      </c>
      <c r="T33" s="74">
        <v>8745.0763814608199</v>
      </c>
      <c r="U33" s="67">
        <v>7840.3050058973504</v>
      </c>
    </row>
    <row r="34" spans="1:21" s="28" customFormat="1" ht="12.75" x14ac:dyDescent="0.2">
      <c r="A34" s="43" t="str">
        <f>VLOOKUP("&lt;Zeilentitel_18&gt;",Uebersetzungen!$B$3:$E$60,Uebersetzungen!$B$2+1,FALSE)</f>
        <v>Glarus</v>
      </c>
      <c r="B34" s="34"/>
      <c r="C34" s="56">
        <v>13941.9499945609</v>
      </c>
      <c r="D34" s="66">
        <v>14509.2482145088</v>
      </c>
      <c r="E34" s="66">
        <v>15194.632144277801</v>
      </c>
      <c r="F34" s="66">
        <v>14037.615843896399</v>
      </c>
      <c r="G34" s="66">
        <v>13130.399463473599</v>
      </c>
      <c r="H34" s="66">
        <v>14342.0659660564</v>
      </c>
      <c r="I34" s="66">
        <v>16494.6495596323</v>
      </c>
      <c r="J34" s="74">
        <v>15570.832134508901</v>
      </c>
      <c r="K34" s="67">
        <v>14001.3268268747</v>
      </c>
      <c r="L34" s="53"/>
      <c r="M34" s="56">
        <v>14034.8484574086</v>
      </c>
      <c r="N34" s="66">
        <v>14738.676329447801</v>
      </c>
      <c r="O34" s="66">
        <v>15242.3543645885</v>
      </c>
      <c r="P34" s="66">
        <v>14201.410686884599</v>
      </c>
      <c r="Q34" s="66">
        <v>13131.3226955997</v>
      </c>
      <c r="R34" s="66">
        <v>14344.6779417546</v>
      </c>
      <c r="S34" s="66">
        <v>16639.897457221701</v>
      </c>
      <c r="T34" s="74">
        <v>15713.359037939499</v>
      </c>
      <c r="U34" s="67">
        <v>14043.2648073655</v>
      </c>
    </row>
    <row r="35" spans="1:21" s="28" customFormat="1" ht="12.75" x14ac:dyDescent="0.2">
      <c r="A35" s="47" t="str">
        <f>VLOOKUP("&lt;Zeilentitel_23&gt;",Uebersetzungen!$B$3:$E$60,Uebersetzungen!$B$2+1,FALSE)</f>
        <v>Graubünden</v>
      </c>
      <c r="B35" s="34"/>
      <c r="C35" s="57">
        <v>9864.4900795433005</v>
      </c>
      <c r="D35" s="68">
        <v>10656.4364919528</v>
      </c>
      <c r="E35" s="68">
        <v>11604.2996869732</v>
      </c>
      <c r="F35" s="68">
        <v>10593.277004605399</v>
      </c>
      <c r="G35" s="68">
        <v>9468.5982264986997</v>
      </c>
      <c r="H35" s="68">
        <v>11046.3695981613</v>
      </c>
      <c r="I35" s="68">
        <v>12285.9550009838</v>
      </c>
      <c r="J35" s="75">
        <v>10738.076479861</v>
      </c>
      <c r="K35" s="69">
        <v>10232.903882717799</v>
      </c>
      <c r="L35" s="53"/>
      <c r="M35" s="57">
        <v>10335.605919030701</v>
      </c>
      <c r="N35" s="68">
        <v>10971.940507880699</v>
      </c>
      <c r="O35" s="68">
        <v>12037.2414242254</v>
      </c>
      <c r="P35" s="68">
        <v>10943.4967222839</v>
      </c>
      <c r="Q35" s="68">
        <v>9874.6238613874193</v>
      </c>
      <c r="R35" s="68">
        <v>11783.227100367199</v>
      </c>
      <c r="S35" s="68">
        <v>12734.3242143225</v>
      </c>
      <c r="T35" s="75">
        <v>11343.339046393001</v>
      </c>
      <c r="U35" s="69">
        <v>10541.632880122001</v>
      </c>
    </row>
    <row r="36" spans="1:21" s="28" customFormat="1" ht="12.75" x14ac:dyDescent="0.2">
      <c r="A36" s="43" t="str">
        <f>VLOOKUP("&lt;Zeilentitel_22&gt;",Uebersetzungen!$B$3:$E$60,Uebersetzungen!$B$2+1,FALSE)</f>
        <v>St. Gallen</v>
      </c>
      <c r="B36" s="34"/>
      <c r="C36" s="56">
        <v>14994.835055973001</v>
      </c>
      <c r="D36" s="66">
        <v>15934.867282448</v>
      </c>
      <c r="E36" s="66">
        <v>17038.127900391999</v>
      </c>
      <c r="F36" s="66">
        <v>16565.5950801412</v>
      </c>
      <c r="G36" s="66">
        <v>15702.0580082297</v>
      </c>
      <c r="H36" s="66">
        <v>18118.646134438801</v>
      </c>
      <c r="I36" s="66">
        <v>19898.477126862501</v>
      </c>
      <c r="J36" s="74">
        <v>17353.177079406301</v>
      </c>
      <c r="K36" s="67">
        <v>16747.301094386199</v>
      </c>
      <c r="L36" s="53"/>
      <c r="M36" s="56">
        <v>15229.2335173879</v>
      </c>
      <c r="N36" s="66">
        <v>16170.851306205799</v>
      </c>
      <c r="O36" s="66">
        <v>17214.968928224502</v>
      </c>
      <c r="P36" s="66">
        <v>16713.6783289214</v>
      </c>
      <c r="Q36" s="66">
        <v>15926.9672668488</v>
      </c>
      <c r="R36" s="66">
        <v>18513.956117501999</v>
      </c>
      <c r="S36" s="66">
        <v>20796.2100864977</v>
      </c>
      <c r="T36" s="74">
        <v>17735.756818052902</v>
      </c>
      <c r="U36" s="67">
        <v>16925.290192258399</v>
      </c>
    </row>
    <row r="37" spans="1:21" s="28" customFormat="1" ht="12.75" x14ac:dyDescent="0.2">
      <c r="A37" s="43" t="str">
        <f>VLOOKUP("&lt;Zeilentitel_19&gt;",Uebersetzungen!$B$3:$E$60,Uebersetzungen!$B$2+1,FALSE)</f>
        <v>Schaffhausen</v>
      </c>
      <c r="B37" s="34"/>
      <c r="C37" s="56">
        <v>26043.506759354201</v>
      </c>
      <c r="D37" s="66">
        <v>30381.459298510199</v>
      </c>
      <c r="E37" s="66">
        <v>32922.5973871401</v>
      </c>
      <c r="F37" s="66">
        <v>32472.740474068101</v>
      </c>
      <c r="G37" s="66">
        <v>28982.7769885901</v>
      </c>
      <c r="H37" s="66">
        <v>31294.085332752202</v>
      </c>
      <c r="I37" s="66">
        <v>34516.073768055503</v>
      </c>
      <c r="J37" s="74">
        <v>32589.539133316201</v>
      </c>
      <c r="K37" s="67">
        <v>31119.7654150325</v>
      </c>
      <c r="L37" s="53"/>
      <c r="M37" s="56">
        <v>27313.615675197401</v>
      </c>
      <c r="N37" s="66">
        <v>31882.242656251201</v>
      </c>
      <c r="O37" s="66">
        <v>34154.656224375998</v>
      </c>
      <c r="P37" s="66">
        <v>33345.123445290701</v>
      </c>
      <c r="Q37" s="66">
        <v>29525.416814835899</v>
      </c>
      <c r="R37" s="66">
        <v>32057.712405381601</v>
      </c>
      <c r="S37" s="66">
        <v>35392.345482277502</v>
      </c>
      <c r="T37" s="74">
        <v>33118.485851357502</v>
      </c>
      <c r="U37" s="67">
        <v>31674.996255123799</v>
      </c>
    </row>
    <row r="38" spans="1:21" s="28" customFormat="1" ht="12.75" x14ac:dyDescent="0.2">
      <c r="A38" s="43" t="str">
        <f>VLOOKUP("&lt;Zeilentitel_24&gt;",Uebersetzungen!$B$3:$E$60,Uebersetzungen!$B$2+1,FALSE)</f>
        <v>Thurgau</v>
      </c>
      <c r="B38" s="34"/>
      <c r="C38" s="56">
        <v>13491.7004659546</v>
      </c>
      <c r="D38" s="66">
        <v>14735.376082213999</v>
      </c>
      <c r="E38" s="66">
        <v>15667.6664967366</v>
      </c>
      <c r="F38" s="66">
        <v>15755.7807818858</v>
      </c>
      <c r="G38" s="66">
        <v>14631.641345731899</v>
      </c>
      <c r="H38" s="66">
        <v>16502.264339090001</v>
      </c>
      <c r="I38" s="66">
        <v>18293.598066242201</v>
      </c>
      <c r="J38" s="74">
        <v>16255.446254963599</v>
      </c>
      <c r="K38" s="67">
        <v>15609.966879612801</v>
      </c>
      <c r="L38" s="53"/>
      <c r="M38" s="56">
        <v>13585.670344812799</v>
      </c>
      <c r="N38" s="66">
        <v>14842.114087150299</v>
      </c>
      <c r="O38" s="66">
        <v>15717.320689095999</v>
      </c>
      <c r="P38" s="66">
        <v>15824.974179053601</v>
      </c>
      <c r="Q38" s="66">
        <v>14717.4762737043</v>
      </c>
      <c r="R38" s="66">
        <v>16590.4267595198</v>
      </c>
      <c r="S38" s="66">
        <v>18427.6460034107</v>
      </c>
      <c r="T38" s="74">
        <v>16388.364078877999</v>
      </c>
      <c r="U38" s="67">
        <v>15675.5593276031</v>
      </c>
    </row>
    <row r="39" spans="1:21" s="28" customFormat="1" ht="12.75" x14ac:dyDescent="0.2">
      <c r="A39" s="42" t="str">
        <f>VLOOKUP("&lt;Zeilentitel_25&gt;",Uebersetzungen!$B$3:$E$60,Uebersetzungen!$B$2+1,FALSE)</f>
        <v>Zentralschweiz</v>
      </c>
      <c r="B39" s="34"/>
      <c r="C39" s="55">
        <v>23655.973770141401</v>
      </c>
      <c r="D39" s="64">
        <v>26218.632798266699</v>
      </c>
      <c r="E39" s="64">
        <v>26536.394494394299</v>
      </c>
      <c r="F39" s="64">
        <v>26252.160433316199</v>
      </c>
      <c r="G39" s="64">
        <v>25813.7739673908</v>
      </c>
      <c r="H39" s="64">
        <v>30223.287187985599</v>
      </c>
      <c r="I39" s="64">
        <v>33322.830067632902</v>
      </c>
      <c r="J39" s="73">
        <v>31424.958544483401</v>
      </c>
      <c r="K39" s="65">
        <v>30107.384231666299</v>
      </c>
      <c r="L39" s="51"/>
      <c r="M39" s="55">
        <v>25665.155411471202</v>
      </c>
      <c r="N39" s="64">
        <v>28332.9893340007</v>
      </c>
      <c r="O39" s="64">
        <v>28783.729613886699</v>
      </c>
      <c r="P39" s="64">
        <v>28599.969352977601</v>
      </c>
      <c r="Q39" s="64">
        <v>26791.713079816102</v>
      </c>
      <c r="R39" s="64">
        <v>30758.5427208</v>
      </c>
      <c r="S39" s="64">
        <v>34711.643897761198</v>
      </c>
      <c r="T39" s="73">
        <v>32608.379211709998</v>
      </c>
      <c r="U39" s="65">
        <v>31439.448828420798</v>
      </c>
    </row>
    <row r="40" spans="1:21" s="28" customFormat="1" ht="12.75" x14ac:dyDescent="0.2">
      <c r="A40" s="43" t="str">
        <f>VLOOKUP("&lt;Zeilentitel_26&gt;",Uebersetzungen!$B$3:$E$60,Uebersetzungen!$B$2+1,FALSE)</f>
        <v>Luzern</v>
      </c>
      <c r="B40" s="34"/>
      <c r="C40" s="56">
        <v>12285.1071817099</v>
      </c>
      <c r="D40" s="66">
        <v>13330.575091144001</v>
      </c>
      <c r="E40" s="66">
        <v>13656.4929188858</v>
      </c>
      <c r="F40" s="66">
        <v>13603.1669967047</v>
      </c>
      <c r="G40" s="66">
        <v>13237.641111487699</v>
      </c>
      <c r="H40" s="66">
        <v>15048.2988062764</v>
      </c>
      <c r="I40" s="66">
        <v>17062.781451555798</v>
      </c>
      <c r="J40" s="74">
        <v>14496.185361735201</v>
      </c>
      <c r="K40" s="67">
        <v>13860.6323237572</v>
      </c>
      <c r="L40" s="53"/>
      <c r="M40" s="56">
        <v>15292.825510720701</v>
      </c>
      <c r="N40" s="66">
        <v>16672.9938549976</v>
      </c>
      <c r="O40" s="66">
        <v>17263.8731634014</v>
      </c>
      <c r="P40" s="66">
        <v>16956.769292466401</v>
      </c>
      <c r="Q40" s="66">
        <v>14433.321199759899</v>
      </c>
      <c r="R40" s="66">
        <v>15389.049667171101</v>
      </c>
      <c r="S40" s="66">
        <v>18410.0724984156</v>
      </c>
      <c r="T40" s="74">
        <v>15684.0084041355</v>
      </c>
      <c r="U40" s="67">
        <v>15624.7733630444</v>
      </c>
    </row>
    <row r="41" spans="1:21" s="28" customFormat="1" ht="12.75" x14ac:dyDescent="0.2">
      <c r="A41" s="43" t="str">
        <f>VLOOKUP("&lt;Zeilentitel_30&gt;",Uebersetzungen!$B$3:$E$60,Uebersetzungen!$B$2+1,FALSE)</f>
        <v>Nidwalden</v>
      </c>
      <c r="B41" s="34"/>
      <c r="C41" s="56">
        <v>18550.5089088323</v>
      </c>
      <c r="D41" s="66">
        <v>22756.114224684999</v>
      </c>
      <c r="E41" s="66">
        <v>24740.4235126315</v>
      </c>
      <c r="F41" s="66">
        <v>24903.935677704801</v>
      </c>
      <c r="G41" s="66">
        <v>23909.626998041102</v>
      </c>
      <c r="H41" s="66">
        <v>26036.6570302289</v>
      </c>
      <c r="I41" s="66">
        <v>26261.937972547199</v>
      </c>
      <c r="J41" s="74">
        <v>27756.0350415414</v>
      </c>
      <c r="K41" s="67">
        <v>28844.645294894301</v>
      </c>
      <c r="L41" s="53"/>
      <c r="M41" s="56">
        <v>22797.4372322745</v>
      </c>
      <c r="N41" s="66">
        <v>24126.562016210501</v>
      </c>
      <c r="O41" s="66">
        <v>27268.398626847102</v>
      </c>
      <c r="P41" s="66">
        <v>26008.761271768301</v>
      </c>
      <c r="Q41" s="66">
        <v>25505.832888939502</v>
      </c>
      <c r="R41" s="66">
        <v>26530.7926280953</v>
      </c>
      <c r="S41" s="66">
        <v>27897.224998815898</v>
      </c>
      <c r="T41" s="74">
        <v>28709.172380057698</v>
      </c>
      <c r="U41" s="67">
        <v>29183.801139298401</v>
      </c>
    </row>
    <row r="42" spans="1:21" s="28" customFormat="1" ht="12.75" x14ac:dyDescent="0.2">
      <c r="A42" s="43" t="str">
        <f>VLOOKUP("&lt;Zeilentitel_29&gt;",Uebersetzungen!$B$3:$E$60,Uebersetzungen!$B$2+1,FALSE)</f>
        <v>Obwalden</v>
      </c>
      <c r="B42" s="34"/>
      <c r="C42" s="56">
        <v>11231.2035720395</v>
      </c>
      <c r="D42" s="66">
        <v>17818.994739946</v>
      </c>
      <c r="E42" s="66">
        <v>13057.536806467</v>
      </c>
      <c r="F42" s="66">
        <v>12342.970345485901</v>
      </c>
      <c r="G42" s="66">
        <v>12220.5834661831</v>
      </c>
      <c r="H42" s="66">
        <v>14903.918003954899</v>
      </c>
      <c r="I42" s="66">
        <v>15140.2259629816</v>
      </c>
      <c r="J42" s="74">
        <v>12623.2386959991</v>
      </c>
      <c r="K42" s="67">
        <v>11354.7601896741</v>
      </c>
      <c r="L42" s="53"/>
      <c r="M42" s="56">
        <v>11585.063982117599</v>
      </c>
      <c r="N42" s="66">
        <v>18235.740638657699</v>
      </c>
      <c r="O42" s="66">
        <v>13278.623680073</v>
      </c>
      <c r="P42" s="66">
        <v>12509.835002083701</v>
      </c>
      <c r="Q42" s="66">
        <v>12464.3150996737</v>
      </c>
      <c r="R42" s="66">
        <v>15138.2302227004</v>
      </c>
      <c r="S42" s="66">
        <v>15433.2359216485</v>
      </c>
      <c r="T42" s="74">
        <v>12856.4078754683</v>
      </c>
      <c r="U42" s="67">
        <v>11455.950732318801</v>
      </c>
    </row>
    <row r="43" spans="1:21" s="28" customFormat="1" ht="12.75" x14ac:dyDescent="0.2">
      <c r="A43" s="43" t="str">
        <f>VLOOKUP("&lt;Zeilentitel_28&gt;",Uebersetzungen!$B$3:$E$60,Uebersetzungen!$B$2+1,FALSE)</f>
        <v>Schwyz</v>
      </c>
      <c r="B43" s="34"/>
      <c r="C43" s="56">
        <v>10492.524889239399</v>
      </c>
      <c r="D43" s="66">
        <v>10765.7633265448</v>
      </c>
      <c r="E43" s="66">
        <v>11133.410476323799</v>
      </c>
      <c r="F43" s="66">
        <v>10202.464168333599</v>
      </c>
      <c r="G43" s="66">
        <v>10026.085548680099</v>
      </c>
      <c r="H43" s="66">
        <v>11209.896741226499</v>
      </c>
      <c r="I43" s="66">
        <v>12255.0897611564</v>
      </c>
      <c r="J43" s="74">
        <v>11082.4948262791</v>
      </c>
      <c r="K43" s="67">
        <v>10766.504859148299</v>
      </c>
      <c r="L43" s="53"/>
      <c r="M43" s="56">
        <v>10561.7764354562</v>
      </c>
      <c r="N43" s="66">
        <v>10860.366312160901</v>
      </c>
      <c r="O43" s="66">
        <v>11296.4694722524</v>
      </c>
      <c r="P43" s="66">
        <v>10351.632417127899</v>
      </c>
      <c r="Q43" s="66">
        <v>10150.068322512099</v>
      </c>
      <c r="R43" s="66">
        <v>11326.372869221599</v>
      </c>
      <c r="S43" s="66">
        <v>12488.9815079737</v>
      </c>
      <c r="T43" s="74">
        <v>11253.463859171799</v>
      </c>
      <c r="U43" s="67">
        <v>10866.1655894736</v>
      </c>
    </row>
    <row r="44" spans="1:21" s="28" customFormat="1" ht="12.75" x14ac:dyDescent="0.2">
      <c r="A44" s="43" t="str">
        <f>VLOOKUP("&lt;Zeilentitel_27&gt;",Uebersetzungen!$B$3:$E$60,Uebersetzungen!$B$2+1,FALSE)</f>
        <v>Uri</v>
      </c>
      <c r="B44" s="34"/>
      <c r="C44" s="56">
        <v>10404.4274601123</v>
      </c>
      <c r="D44" s="66">
        <v>11571.843920429899</v>
      </c>
      <c r="E44" s="66">
        <v>12495.564526190199</v>
      </c>
      <c r="F44" s="66">
        <v>12229.898413699701</v>
      </c>
      <c r="G44" s="66">
        <v>11167.341474512699</v>
      </c>
      <c r="H44" s="66">
        <v>13491.141145350401</v>
      </c>
      <c r="I44" s="66">
        <v>12954.0773787048</v>
      </c>
      <c r="J44" s="74">
        <v>11705.835257386099</v>
      </c>
      <c r="K44" s="67">
        <v>12445.7610881454</v>
      </c>
      <c r="L44" s="53"/>
      <c r="M44" s="56">
        <v>10546.985366952</v>
      </c>
      <c r="N44" s="66">
        <v>11708.513279008001</v>
      </c>
      <c r="O44" s="66">
        <v>12531.2517355952</v>
      </c>
      <c r="P44" s="66">
        <v>12271.1663651004</v>
      </c>
      <c r="Q44" s="66">
        <v>11216.0003795143</v>
      </c>
      <c r="R44" s="66">
        <v>13504.7321953801</v>
      </c>
      <c r="S44" s="66">
        <v>13205.411237382399</v>
      </c>
      <c r="T44" s="74">
        <v>11755.136974840399</v>
      </c>
      <c r="U44" s="67">
        <v>12489.7202110575</v>
      </c>
    </row>
    <row r="45" spans="1:21" s="28" customFormat="1" ht="12.75" x14ac:dyDescent="0.2">
      <c r="A45" s="43" t="str">
        <f>VLOOKUP("&lt;Zeilentitel_31&gt;",Uebersetzungen!$B$3:$E$60,Uebersetzungen!$B$2+1,FALSE)</f>
        <v>Zug</v>
      </c>
      <c r="B45" s="34"/>
      <c r="C45" s="56">
        <v>86582.935493443598</v>
      </c>
      <c r="D45" s="66">
        <v>95313.008996573495</v>
      </c>
      <c r="E45" s="66">
        <v>96123.379398109493</v>
      </c>
      <c r="F45" s="66">
        <v>95995.042698357604</v>
      </c>
      <c r="G45" s="66">
        <v>95197.490621806995</v>
      </c>
      <c r="H45" s="66">
        <v>114078.05772783</v>
      </c>
      <c r="I45" s="66">
        <v>126039.655395731</v>
      </c>
      <c r="J45" s="74">
        <v>125122.754177775</v>
      </c>
      <c r="K45" s="67">
        <v>119072.37464187</v>
      </c>
      <c r="L45" s="53"/>
      <c r="M45" s="56">
        <v>88056.983412146699</v>
      </c>
      <c r="N45" s="66">
        <v>97316.023655292403</v>
      </c>
      <c r="O45" s="66">
        <v>97739.033766200402</v>
      </c>
      <c r="P45" s="66">
        <v>99582.824645406596</v>
      </c>
      <c r="Q45" s="66">
        <v>96820.726052201499</v>
      </c>
      <c r="R45" s="66">
        <v>116023.36714016899</v>
      </c>
      <c r="S45" s="66">
        <v>129578.89929636499</v>
      </c>
      <c r="T45" s="74">
        <v>128257.74020465399</v>
      </c>
      <c r="U45" s="67">
        <v>121617.78477314299</v>
      </c>
    </row>
    <row r="46" spans="1:21" s="28" customFormat="1" ht="12.75" x14ac:dyDescent="0.2">
      <c r="A46" s="42" t="str">
        <f>VLOOKUP("&lt;Zeilentitel_32&gt;",Uebersetzungen!$B$3:$E$60,Uebersetzungen!$B$2+1,FALSE)</f>
        <v>Tessin</v>
      </c>
      <c r="B46" s="34"/>
      <c r="C46" s="55">
        <v>20051.505414164101</v>
      </c>
      <c r="D46" s="64">
        <v>25218.5808898047</v>
      </c>
      <c r="E46" s="64">
        <v>36409.340599926501</v>
      </c>
      <c r="F46" s="64">
        <v>42039.7903648551</v>
      </c>
      <c r="G46" s="64">
        <v>25863.2292440204</v>
      </c>
      <c r="H46" s="64">
        <v>18635.4728400239</v>
      </c>
      <c r="I46" s="64">
        <v>20419.5854745451</v>
      </c>
      <c r="J46" s="73">
        <v>19844.042278221601</v>
      </c>
      <c r="K46" s="65">
        <v>19166.256262705901</v>
      </c>
      <c r="L46" s="51"/>
      <c r="M46" s="55">
        <v>151286.87805088001</v>
      </c>
      <c r="N46" s="64">
        <v>126360.242547314</v>
      </c>
      <c r="O46" s="64">
        <v>102602.159684502</v>
      </c>
      <c r="P46" s="64">
        <v>118514.972456188</v>
      </c>
      <c r="Q46" s="64">
        <v>132510.82762830699</v>
      </c>
      <c r="R46" s="64">
        <v>134370.331925165</v>
      </c>
      <c r="S46" s="64">
        <v>162884.900372854</v>
      </c>
      <c r="T46" s="73">
        <v>152981.65261928199</v>
      </c>
      <c r="U46" s="65">
        <v>161738.82837487699</v>
      </c>
    </row>
    <row r="47" spans="1:21" s="28" customFormat="1" ht="13.5" thickBot="1" x14ac:dyDescent="0.25">
      <c r="A47" s="44" t="str">
        <f>VLOOKUP("&lt;Zeilentitel_32&gt;",Uebersetzungen!$B$3:$E$60,Uebersetzungen!$B$2+1,FALSE)</f>
        <v>Tessin</v>
      </c>
      <c r="B47" s="34"/>
      <c r="C47" s="58">
        <v>20051.505414164101</v>
      </c>
      <c r="D47" s="70">
        <v>25218.580889804402</v>
      </c>
      <c r="E47" s="70">
        <v>36409.340599927098</v>
      </c>
      <c r="F47" s="70">
        <v>42039.7903648547</v>
      </c>
      <c r="G47" s="70">
        <v>25863.229244020298</v>
      </c>
      <c r="H47" s="70">
        <v>18635.4728400233</v>
      </c>
      <c r="I47" s="70">
        <v>20419.585474545202</v>
      </c>
      <c r="J47" s="76">
        <v>19844.042278221801</v>
      </c>
      <c r="K47" s="71">
        <v>19166.256262706898</v>
      </c>
      <c r="L47" s="51"/>
      <c r="M47" s="58">
        <v>151286.87805088001</v>
      </c>
      <c r="N47" s="70">
        <v>126360.24254731</v>
      </c>
      <c r="O47" s="70">
        <v>102602.159684509</v>
      </c>
      <c r="P47" s="70">
        <v>118514.972456181</v>
      </c>
      <c r="Q47" s="70">
        <v>132510.82762830201</v>
      </c>
      <c r="R47" s="70">
        <v>134370.331925162</v>
      </c>
      <c r="S47" s="70">
        <v>162884.90037285601</v>
      </c>
      <c r="T47" s="76">
        <v>152981.65261928801</v>
      </c>
      <c r="U47" s="71">
        <v>161738.82837487501</v>
      </c>
    </row>
    <row r="48" spans="1:21" s="28" customFormat="1" ht="12.75" x14ac:dyDescent="0.2">
      <c r="A48" s="36"/>
      <c r="B48" s="34"/>
      <c r="C48" s="13"/>
      <c r="D48" s="13"/>
      <c r="E48" s="13"/>
      <c r="F48" s="13"/>
      <c r="G48" s="13"/>
      <c r="H48" s="13"/>
      <c r="I48" s="13"/>
      <c r="J48" s="13"/>
      <c r="K48" s="13"/>
      <c r="L48" s="51"/>
      <c r="M48" s="13"/>
      <c r="N48" s="13"/>
      <c r="O48" s="13"/>
      <c r="P48" s="13"/>
      <c r="Q48" s="13"/>
      <c r="R48" s="13"/>
      <c r="S48" s="13"/>
      <c r="T48" s="13"/>
    </row>
    <row r="49" spans="1:20" s="28" customFormat="1" ht="12.75" x14ac:dyDescent="0.2">
      <c r="A49" s="60" t="str">
        <f>VLOOKUP("&lt;Legende_1&gt;",Uebersetzungen!$B$3:$E$326,Uebersetzungen!$B$2+1,FALSE)</f>
        <v>* ohne Edelmetalle, Edel- und Schmucksteine, Kunstgegenstände und Antiquitäten</v>
      </c>
      <c r="B49" s="34"/>
      <c r="C49" s="13"/>
      <c r="D49" s="13"/>
      <c r="E49" s="13"/>
      <c r="F49" s="13"/>
      <c r="G49" s="13"/>
      <c r="H49" s="13"/>
      <c r="I49" s="13"/>
      <c r="J49" s="13"/>
      <c r="K49" s="13"/>
      <c r="L49" s="51"/>
      <c r="M49" s="13"/>
      <c r="N49" s="13"/>
      <c r="O49" s="13"/>
      <c r="P49" s="13"/>
      <c r="Q49" s="13"/>
      <c r="R49" s="13"/>
      <c r="S49" s="13"/>
      <c r="T49" s="13"/>
    </row>
    <row r="50" spans="1:20" s="28" customFormat="1" ht="12.75" x14ac:dyDescent="0.2">
      <c r="A50" s="5"/>
      <c r="B50" s="40"/>
      <c r="C50" s="6"/>
      <c r="D50" s="7"/>
      <c r="E50" s="7"/>
      <c r="F50" s="7"/>
      <c r="G50" s="7"/>
      <c r="H50" s="7"/>
      <c r="I50" s="7"/>
      <c r="J50" s="7"/>
      <c r="K50" s="7"/>
      <c r="L50" s="40"/>
      <c r="M50" s="6"/>
      <c r="N50" s="7"/>
      <c r="O50" s="7"/>
      <c r="P50" s="7"/>
      <c r="Q50" s="7"/>
      <c r="R50" s="7"/>
      <c r="S50" s="7"/>
      <c r="T50" s="7"/>
    </row>
    <row r="51" spans="1:20" s="28" customFormat="1" ht="12.75" x14ac:dyDescent="0.2">
      <c r="A51" s="9" t="str">
        <f>VLOOKUP("&lt;quelle_1&gt;",Uebersetzungen!$B$3:$E$60,Uebersetzungen!$B$2+1,FALSE)</f>
        <v>Quelle: Eidgenössische Zollverwaltung (Aussenhandelsstatistik)</v>
      </c>
      <c r="B51" s="39"/>
      <c r="C51" s="8"/>
      <c r="D51" s="8"/>
      <c r="E51" s="8"/>
      <c r="F51" s="8"/>
      <c r="G51" s="8"/>
      <c r="H51" s="8"/>
      <c r="I51" s="8"/>
      <c r="J51" s="8"/>
      <c r="K51" s="8"/>
      <c r="L51" s="39"/>
      <c r="M51" s="8"/>
      <c r="N51" s="8"/>
      <c r="O51" s="8"/>
      <c r="P51" s="8"/>
      <c r="Q51" s="8"/>
      <c r="R51" s="8"/>
      <c r="S51" s="8"/>
      <c r="T51" s="8"/>
    </row>
    <row r="52" spans="1:20" s="28" customFormat="1" ht="12.75" x14ac:dyDescent="0.2">
      <c r="A52" s="8" t="str">
        <f>VLOOKUP("&lt;aktualisierung&gt;",Uebersetzungen!$B$3:$E$204,Uebersetzungen!$B$2+1,FALSE)</f>
        <v>Letztmals aktualisiert am: 09.07.2025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</sheetData>
  <sheetProtection sheet="1" objects="1" scenarios="1"/>
  <mergeCells count="3">
    <mergeCell ref="A7:D7"/>
    <mergeCell ref="C12:K12"/>
    <mergeCell ref="M12:U12"/>
  </mergeCells>
  <pageMargins left="0.7" right="0.7" top="0.75" bottom="0.75" header="0.3" footer="0.3"/>
  <pageSetup paperSize="9" scale="3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Option Button 1">
              <controlPr defaultSize="0" autoFill="0" autoLine="0" autoPict="0">
                <anchor moveWithCells="1">
                  <from>
                    <xdr:col>5</xdr:col>
                    <xdr:colOff>381000</xdr:colOff>
                    <xdr:row>1</xdr:row>
                    <xdr:rowOff>114300</xdr:rowOff>
                  </from>
                  <to>
                    <xdr:col>6</xdr:col>
                    <xdr:colOff>438150</xdr:colOff>
                    <xdr:row>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5" name="Option Button 2">
              <controlPr defaultSize="0" autoFill="0" autoLine="0" autoPict="0">
                <anchor moveWithCells="1">
                  <from>
                    <xdr:col>5</xdr:col>
                    <xdr:colOff>381000</xdr:colOff>
                    <xdr:row>2</xdr:row>
                    <xdr:rowOff>114300</xdr:rowOff>
                  </from>
                  <to>
                    <xdr:col>6</xdr:col>
                    <xdr:colOff>828675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6" name="Option Button 3">
              <controlPr defaultSize="0" autoFill="0" autoLine="0" autoPict="0">
                <anchor moveWithCells="1">
                  <from>
                    <xdr:col>5</xdr:col>
                    <xdr:colOff>381000</xdr:colOff>
                    <xdr:row>3</xdr:row>
                    <xdr:rowOff>95250</xdr:rowOff>
                  </from>
                  <to>
                    <xdr:col>6</xdr:col>
                    <xdr:colOff>438150</xdr:colOff>
                    <xdr:row>4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6"/>
  <sheetViews>
    <sheetView workbookViewId="0">
      <selection activeCell="H56" sqref="H56"/>
    </sheetView>
  </sheetViews>
  <sheetFormatPr baseColWidth="10" defaultColWidth="12.5703125" defaultRowHeight="12.75" x14ac:dyDescent="0.25"/>
  <cols>
    <col min="1" max="1" width="9.85546875" style="17" customWidth="1"/>
    <col min="2" max="2" width="30" style="17" customWidth="1"/>
    <col min="3" max="5" width="46.28515625" style="22" customWidth="1"/>
    <col min="6" max="6" width="22.42578125" style="17" customWidth="1"/>
    <col min="7" max="16384" width="12.5703125" style="17"/>
  </cols>
  <sheetData>
    <row r="1" spans="1:6" x14ac:dyDescent="0.25">
      <c r="A1" s="14" t="s">
        <v>30</v>
      </c>
      <c r="B1" s="14" t="s">
        <v>31</v>
      </c>
      <c r="C1" s="15" t="s">
        <v>32</v>
      </c>
      <c r="D1" s="15" t="s">
        <v>33</v>
      </c>
      <c r="E1" s="15" t="s">
        <v>34</v>
      </c>
      <c r="F1" s="16"/>
    </row>
    <row r="2" spans="1:6" x14ac:dyDescent="0.25">
      <c r="A2" s="18" t="s">
        <v>35</v>
      </c>
      <c r="B2" s="19">
        <v>1</v>
      </c>
      <c r="C2" s="20"/>
      <c r="D2" s="20"/>
      <c r="E2" s="20"/>
      <c r="F2" s="16"/>
    </row>
    <row r="3" spans="1:6" x14ac:dyDescent="0.25">
      <c r="A3" s="18"/>
      <c r="B3" s="17" t="s">
        <v>36</v>
      </c>
      <c r="C3" s="22" t="s">
        <v>37</v>
      </c>
      <c r="D3" s="22" t="s">
        <v>38</v>
      </c>
      <c r="E3" s="22" t="s">
        <v>39</v>
      </c>
      <c r="F3" s="16"/>
    </row>
    <row r="4" spans="1:6" ht="38.25" x14ac:dyDescent="0.25">
      <c r="A4" s="18" t="s">
        <v>40</v>
      </c>
      <c r="B4" s="17" t="s">
        <v>41</v>
      </c>
      <c r="C4" s="22" t="s">
        <v>157</v>
      </c>
      <c r="D4" s="22" t="s">
        <v>159</v>
      </c>
      <c r="E4" s="22" t="s">
        <v>158</v>
      </c>
      <c r="F4" s="16"/>
    </row>
    <row r="5" spans="1:6" x14ac:dyDescent="0.25">
      <c r="A5" s="18"/>
      <c r="B5" s="17" t="s">
        <v>42</v>
      </c>
      <c r="C5" s="22" t="s">
        <v>160</v>
      </c>
      <c r="D5" s="22" t="s">
        <v>161</v>
      </c>
      <c r="E5" s="22" t="s">
        <v>162</v>
      </c>
      <c r="F5" s="16"/>
    </row>
    <row r="6" spans="1:6" x14ac:dyDescent="0.25">
      <c r="A6" s="18"/>
      <c r="B6" s="18"/>
      <c r="C6" s="18"/>
      <c r="D6" s="18"/>
      <c r="E6" s="18"/>
      <c r="F6" s="16"/>
    </row>
    <row r="7" spans="1:6" ht="14.25" customHeight="1" x14ac:dyDescent="0.25">
      <c r="A7" s="18" t="s">
        <v>43</v>
      </c>
      <c r="B7" s="17" t="s">
        <v>44</v>
      </c>
      <c r="C7" s="22" t="s">
        <v>163</v>
      </c>
      <c r="D7" s="22" t="s">
        <v>165</v>
      </c>
      <c r="E7" s="22" t="s">
        <v>164</v>
      </c>
      <c r="F7" s="16"/>
    </row>
    <row r="8" spans="1:6" ht="15" customHeight="1" x14ac:dyDescent="0.25">
      <c r="A8" s="18"/>
      <c r="B8" s="17" t="s">
        <v>46</v>
      </c>
      <c r="C8" s="22" t="s">
        <v>187</v>
      </c>
      <c r="D8" s="22" t="s">
        <v>188</v>
      </c>
      <c r="E8" s="22" t="s">
        <v>189</v>
      </c>
      <c r="F8" s="16"/>
    </row>
    <row r="9" spans="1:6" x14ac:dyDescent="0.25">
      <c r="A9" s="18"/>
      <c r="B9" s="18"/>
      <c r="C9" s="18"/>
      <c r="D9" s="18"/>
      <c r="E9" s="18"/>
      <c r="F9" s="18"/>
    </row>
    <row r="10" spans="1:6" x14ac:dyDescent="0.25">
      <c r="A10" s="18"/>
      <c r="B10" s="17" t="s">
        <v>47</v>
      </c>
      <c r="F10" s="16"/>
    </row>
    <row r="11" spans="1:6" x14ac:dyDescent="0.25">
      <c r="A11" s="18"/>
      <c r="B11" s="17" t="s">
        <v>48</v>
      </c>
      <c r="F11" s="16"/>
    </row>
    <row r="12" spans="1:6" x14ac:dyDescent="0.25">
      <c r="A12" s="18"/>
      <c r="B12" s="16"/>
      <c r="C12" s="21"/>
      <c r="D12" s="21"/>
      <c r="E12" s="21"/>
      <c r="F12" s="16"/>
    </row>
    <row r="13" spans="1:6" x14ac:dyDescent="0.25">
      <c r="A13" s="18" t="s">
        <v>40</v>
      </c>
      <c r="B13" s="17" t="s">
        <v>49</v>
      </c>
      <c r="C13" s="22" t="s">
        <v>0</v>
      </c>
      <c r="D13" s="22" t="s">
        <v>0</v>
      </c>
      <c r="E13" s="22" t="s">
        <v>45</v>
      </c>
      <c r="F13" s="16"/>
    </row>
    <row r="14" spans="1:6" x14ac:dyDescent="0.25">
      <c r="A14" s="16"/>
      <c r="B14" s="17" t="s">
        <v>50</v>
      </c>
      <c r="C14" s="22" t="s">
        <v>1</v>
      </c>
      <c r="D14" s="22" t="s">
        <v>115</v>
      </c>
      <c r="E14" s="22" t="s">
        <v>116</v>
      </c>
      <c r="F14" s="16"/>
    </row>
    <row r="15" spans="1:6" x14ac:dyDescent="0.25">
      <c r="A15" s="16"/>
      <c r="B15" s="17" t="s">
        <v>52</v>
      </c>
      <c r="C15" s="22" t="s">
        <v>2</v>
      </c>
      <c r="D15" s="22" t="s">
        <v>92</v>
      </c>
      <c r="E15" s="22" t="s">
        <v>117</v>
      </c>
      <c r="F15" s="16"/>
    </row>
    <row r="16" spans="1:6" x14ac:dyDescent="0.25">
      <c r="A16" s="16"/>
      <c r="B16" s="17" t="s">
        <v>54</v>
      </c>
      <c r="C16" s="22" t="s">
        <v>3</v>
      </c>
      <c r="D16" s="22" t="s">
        <v>94</v>
      </c>
      <c r="E16" s="22" t="s">
        <v>118</v>
      </c>
      <c r="F16" s="16"/>
    </row>
    <row r="17" spans="1:6" x14ac:dyDescent="0.25">
      <c r="A17" s="16"/>
      <c r="B17" s="17" t="s">
        <v>56</v>
      </c>
      <c r="C17" s="22" t="s">
        <v>4</v>
      </c>
      <c r="D17" s="22" t="s">
        <v>98</v>
      </c>
      <c r="E17" s="22" t="s">
        <v>119</v>
      </c>
      <c r="F17" s="16"/>
    </row>
    <row r="18" spans="1:6" x14ac:dyDescent="0.25">
      <c r="A18" s="16"/>
      <c r="B18" s="17" t="s">
        <v>57</v>
      </c>
      <c r="C18" s="22" t="s">
        <v>5</v>
      </c>
      <c r="D18" s="22" t="s">
        <v>5</v>
      </c>
      <c r="E18" s="22" t="s">
        <v>120</v>
      </c>
      <c r="F18" s="16"/>
    </row>
    <row r="19" spans="1:6" x14ac:dyDescent="0.25">
      <c r="A19" s="16"/>
      <c r="B19" s="17" t="s">
        <v>59</v>
      </c>
      <c r="C19" s="22" t="s">
        <v>6</v>
      </c>
      <c r="D19" s="22" t="s">
        <v>53</v>
      </c>
      <c r="E19" s="22" t="s">
        <v>121</v>
      </c>
      <c r="F19" s="16"/>
    </row>
    <row r="20" spans="1:6" x14ac:dyDescent="0.25">
      <c r="A20" s="16"/>
      <c r="B20" s="17" t="s">
        <v>61</v>
      </c>
      <c r="C20" s="22" t="s">
        <v>7</v>
      </c>
      <c r="D20" s="22" t="s">
        <v>67</v>
      </c>
      <c r="E20" s="22" t="s">
        <v>122</v>
      </c>
      <c r="F20" s="16"/>
    </row>
    <row r="21" spans="1:6" x14ac:dyDescent="0.25">
      <c r="A21" s="16"/>
      <c r="B21" s="17" t="s">
        <v>63</v>
      </c>
      <c r="C21" s="22" t="s">
        <v>8</v>
      </c>
      <c r="D21" s="22" t="s">
        <v>69</v>
      </c>
      <c r="E21" s="22" t="s">
        <v>123</v>
      </c>
      <c r="F21" s="16"/>
    </row>
    <row r="22" spans="1:6" x14ac:dyDescent="0.25">
      <c r="A22" s="16"/>
      <c r="B22" s="17" t="s">
        <v>65</v>
      </c>
      <c r="C22" s="22" t="s">
        <v>9</v>
      </c>
      <c r="D22" s="22" t="s">
        <v>96</v>
      </c>
      <c r="E22" s="22" t="s">
        <v>124</v>
      </c>
      <c r="F22" s="16"/>
    </row>
    <row r="23" spans="1:6" x14ac:dyDescent="0.25">
      <c r="A23" s="16"/>
      <c r="B23" s="17" t="s">
        <v>66</v>
      </c>
      <c r="C23" s="22" t="s">
        <v>10</v>
      </c>
      <c r="D23" s="22" t="s">
        <v>100</v>
      </c>
      <c r="E23" s="22" t="s">
        <v>125</v>
      </c>
      <c r="F23" s="16"/>
    </row>
    <row r="24" spans="1:6" x14ac:dyDescent="0.25">
      <c r="A24" s="16"/>
      <c r="B24" s="17" t="s">
        <v>68</v>
      </c>
      <c r="C24" s="22" t="s">
        <v>11</v>
      </c>
      <c r="D24" s="22" t="s">
        <v>112</v>
      </c>
      <c r="E24" s="22" t="s">
        <v>126</v>
      </c>
      <c r="F24" s="16"/>
    </row>
    <row r="25" spans="1:6" x14ac:dyDescent="0.25">
      <c r="A25" s="16"/>
      <c r="B25" s="17" t="s">
        <v>70</v>
      </c>
      <c r="C25" s="22" t="s">
        <v>12</v>
      </c>
      <c r="D25" s="22" t="s">
        <v>71</v>
      </c>
      <c r="E25" s="22" t="s">
        <v>127</v>
      </c>
      <c r="F25" s="16"/>
    </row>
    <row r="26" spans="1:6" x14ac:dyDescent="0.25">
      <c r="A26" s="16"/>
      <c r="B26" s="17" t="s">
        <v>72</v>
      </c>
      <c r="C26" s="22" t="s">
        <v>13</v>
      </c>
      <c r="D26" s="22" t="s">
        <v>73</v>
      </c>
      <c r="E26" s="22" t="s">
        <v>128</v>
      </c>
      <c r="F26" s="16"/>
    </row>
    <row r="27" spans="1:6" x14ac:dyDescent="0.25">
      <c r="A27" s="16"/>
      <c r="B27" s="17" t="s">
        <v>74</v>
      </c>
      <c r="C27" s="22" t="s">
        <v>14</v>
      </c>
      <c r="D27" s="22" t="s">
        <v>87</v>
      </c>
      <c r="E27" s="22" t="s">
        <v>129</v>
      </c>
      <c r="F27" s="16"/>
    </row>
    <row r="28" spans="1:6" x14ac:dyDescent="0.25">
      <c r="A28" s="16"/>
      <c r="B28" s="17" t="s">
        <v>76</v>
      </c>
      <c r="C28" s="22" t="s">
        <v>15</v>
      </c>
      <c r="D28" s="22" t="s">
        <v>51</v>
      </c>
      <c r="E28" s="22" t="s">
        <v>130</v>
      </c>
      <c r="F28" s="16"/>
    </row>
    <row r="29" spans="1:6" x14ac:dyDescent="0.25">
      <c r="A29" s="16"/>
      <c r="B29" s="17" t="s">
        <v>79</v>
      </c>
      <c r="C29" s="22" t="s">
        <v>16</v>
      </c>
      <c r="D29" s="22" t="s">
        <v>113</v>
      </c>
      <c r="E29" s="22" t="s">
        <v>131</v>
      </c>
      <c r="F29" s="16"/>
    </row>
    <row r="30" spans="1:6" x14ac:dyDescent="0.25">
      <c r="A30" s="16"/>
      <c r="B30" s="17" t="s">
        <v>82</v>
      </c>
      <c r="C30" s="22" t="s">
        <v>17</v>
      </c>
      <c r="D30" s="22" t="s">
        <v>64</v>
      </c>
      <c r="E30" s="22" t="s">
        <v>132</v>
      </c>
      <c r="F30" s="16"/>
    </row>
    <row r="31" spans="1:6" x14ac:dyDescent="0.25">
      <c r="A31" s="16"/>
      <c r="B31" s="17" t="s">
        <v>84</v>
      </c>
      <c r="C31" s="22" t="s">
        <v>18</v>
      </c>
      <c r="D31" s="22" t="s">
        <v>75</v>
      </c>
      <c r="E31" s="22" t="s">
        <v>133</v>
      </c>
      <c r="F31" s="16"/>
    </row>
    <row r="32" spans="1:6" x14ac:dyDescent="0.25">
      <c r="A32" s="16"/>
      <c r="B32" s="17" t="s">
        <v>86</v>
      </c>
      <c r="C32" s="22" t="s">
        <v>77</v>
      </c>
      <c r="D32" s="22" t="s">
        <v>78</v>
      </c>
      <c r="E32" s="22" t="s">
        <v>134</v>
      </c>
      <c r="F32" s="16"/>
    </row>
    <row r="33" spans="1:6" x14ac:dyDescent="0.25">
      <c r="A33" s="16"/>
      <c r="B33" s="17" t="s">
        <v>88</v>
      </c>
      <c r="C33" s="22" t="s">
        <v>80</v>
      </c>
      <c r="D33" s="22" t="s">
        <v>81</v>
      </c>
      <c r="E33" s="22" t="s">
        <v>135</v>
      </c>
      <c r="F33" s="16"/>
    </row>
    <row r="34" spans="1:6" x14ac:dyDescent="0.25">
      <c r="A34" s="16"/>
      <c r="B34" s="17" t="s">
        <v>90</v>
      </c>
      <c r="C34" s="22" t="s">
        <v>19</v>
      </c>
      <c r="D34" s="22" t="s">
        <v>83</v>
      </c>
      <c r="E34" s="22" t="s">
        <v>136</v>
      </c>
      <c r="F34" s="16"/>
    </row>
    <row r="35" spans="1:6" x14ac:dyDescent="0.25">
      <c r="A35" s="16"/>
      <c r="B35" s="17" t="s">
        <v>91</v>
      </c>
      <c r="C35" s="22" t="s">
        <v>20</v>
      </c>
      <c r="D35" s="22" t="s">
        <v>85</v>
      </c>
      <c r="E35" s="22" t="s">
        <v>137</v>
      </c>
      <c r="F35" s="16"/>
    </row>
    <row r="36" spans="1:6" x14ac:dyDescent="0.25">
      <c r="A36" s="16"/>
      <c r="B36" s="17" t="s">
        <v>93</v>
      </c>
      <c r="C36" s="22" t="s">
        <v>21</v>
      </c>
      <c r="D36" s="22" t="s">
        <v>89</v>
      </c>
      <c r="E36" s="22" t="s">
        <v>138</v>
      </c>
      <c r="F36" s="16"/>
    </row>
    <row r="37" spans="1:6" x14ac:dyDescent="0.25">
      <c r="A37" s="16"/>
      <c r="B37" s="17" t="s">
        <v>95</v>
      </c>
      <c r="C37" s="22" t="s">
        <v>22</v>
      </c>
      <c r="D37" s="22" t="s">
        <v>114</v>
      </c>
      <c r="E37" s="22" t="s">
        <v>139</v>
      </c>
      <c r="F37" s="16"/>
    </row>
    <row r="38" spans="1:6" x14ac:dyDescent="0.25">
      <c r="A38" s="16"/>
      <c r="B38" s="17" t="s">
        <v>97</v>
      </c>
      <c r="C38" s="22" t="s">
        <v>23</v>
      </c>
      <c r="D38" s="22" t="s">
        <v>55</v>
      </c>
      <c r="E38" s="22" t="s">
        <v>140</v>
      </c>
      <c r="F38" s="16"/>
    </row>
    <row r="39" spans="1:6" x14ac:dyDescent="0.25">
      <c r="A39" s="16"/>
      <c r="B39" s="17" t="s">
        <v>99</v>
      </c>
      <c r="C39" s="22" t="s">
        <v>24</v>
      </c>
      <c r="D39" s="22" t="s">
        <v>24</v>
      </c>
      <c r="E39" s="22" t="s">
        <v>141</v>
      </c>
      <c r="F39" s="16"/>
    </row>
    <row r="40" spans="1:6" x14ac:dyDescent="0.25">
      <c r="A40" s="16"/>
      <c r="B40" s="17" t="s">
        <v>107</v>
      </c>
      <c r="C40" s="22" t="s">
        <v>25</v>
      </c>
      <c r="D40" s="22" t="s">
        <v>58</v>
      </c>
      <c r="E40" s="22" t="s">
        <v>142</v>
      </c>
      <c r="F40" s="16"/>
    </row>
    <row r="41" spans="1:6" x14ac:dyDescent="0.25">
      <c r="A41" s="16"/>
      <c r="B41" s="17" t="s">
        <v>111</v>
      </c>
      <c r="C41" s="22" t="s">
        <v>26</v>
      </c>
      <c r="D41" s="22" t="s">
        <v>60</v>
      </c>
      <c r="E41" s="22" t="s">
        <v>143</v>
      </c>
      <c r="F41" s="16"/>
    </row>
    <row r="42" spans="1:6" x14ac:dyDescent="0.25">
      <c r="A42" s="16"/>
      <c r="B42" s="17" t="s">
        <v>108</v>
      </c>
      <c r="C42" s="22" t="s">
        <v>27</v>
      </c>
      <c r="D42" s="22" t="s">
        <v>62</v>
      </c>
      <c r="E42" s="22" t="s">
        <v>144</v>
      </c>
      <c r="F42" s="16"/>
    </row>
    <row r="43" spans="1:6" x14ac:dyDescent="0.25">
      <c r="A43" s="16"/>
      <c r="B43" s="17" t="s">
        <v>109</v>
      </c>
      <c r="C43" s="22" t="s">
        <v>28</v>
      </c>
      <c r="D43" s="22" t="s">
        <v>28</v>
      </c>
      <c r="E43" s="22" t="s">
        <v>145</v>
      </c>
      <c r="F43" s="16"/>
    </row>
    <row r="44" spans="1:6" x14ac:dyDescent="0.25">
      <c r="A44" s="16"/>
      <c r="B44" s="17" t="s">
        <v>110</v>
      </c>
      <c r="C44" s="22" t="s">
        <v>29</v>
      </c>
      <c r="D44" s="22" t="s">
        <v>29</v>
      </c>
      <c r="E44" s="22" t="s">
        <v>146</v>
      </c>
      <c r="F44" s="16"/>
    </row>
    <row r="45" spans="1:6" x14ac:dyDescent="0.25">
      <c r="A45" s="16"/>
      <c r="B45" s="17" t="s">
        <v>166</v>
      </c>
      <c r="C45" s="22" t="s">
        <v>169</v>
      </c>
      <c r="D45" s="22" t="s">
        <v>170</v>
      </c>
      <c r="E45" s="22" t="s">
        <v>171</v>
      </c>
      <c r="F45" s="16"/>
    </row>
    <row r="46" spans="1:6" x14ac:dyDescent="0.25">
      <c r="A46" s="16"/>
      <c r="B46" s="17" t="s">
        <v>167</v>
      </c>
      <c r="C46" s="22" t="s">
        <v>175</v>
      </c>
      <c r="D46" s="22" t="s">
        <v>176</v>
      </c>
      <c r="E46" s="22" t="s">
        <v>177</v>
      </c>
      <c r="F46" s="16"/>
    </row>
    <row r="47" spans="1:6" x14ac:dyDescent="0.25">
      <c r="A47" s="16"/>
      <c r="B47" s="17" t="s">
        <v>168</v>
      </c>
      <c r="C47" s="22" t="s">
        <v>174</v>
      </c>
      <c r="D47" s="22" t="s">
        <v>173</v>
      </c>
      <c r="E47" s="22" t="s">
        <v>172</v>
      </c>
      <c r="F47" s="16"/>
    </row>
    <row r="48" spans="1:6" x14ac:dyDescent="0.25">
      <c r="A48" s="16"/>
      <c r="B48" s="16"/>
      <c r="C48" s="21"/>
      <c r="D48" s="21"/>
      <c r="E48" s="21"/>
      <c r="F48" s="16"/>
    </row>
    <row r="49" spans="1:6" ht="25.5" x14ac:dyDescent="0.25">
      <c r="A49" s="18"/>
      <c r="B49" s="17" t="s">
        <v>101</v>
      </c>
      <c r="C49" s="22" t="s">
        <v>178</v>
      </c>
      <c r="D49" s="22" t="s">
        <v>180</v>
      </c>
      <c r="E49" s="22" t="s">
        <v>179</v>
      </c>
      <c r="F49" s="21"/>
    </row>
    <row r="50" spans="1:6" ht="25.5" x14ac:dyDescent="0.25">
      <c r="A50" s="16"/>
      <c r="B50" s="17" t="s">
        <v>102</v>
      </c>
      <c r="C50" s="22" t="s">
        <v>181</v>
      </c>
      <c r="D50" s="22" t="s">
        <v>182</v>
      </c>
      <c r="E50" s="22" t="s">
        <v>183</v>
      </c>
      <c r="F50" s="21"/>
    </row>
    <row r="51" spans="1:6" x14ac:dyDescent="0.25">
      <c r="A51" s="16"/>
      <c r="B51" s="17" t="s">
        <v>103</v>
      </c>
      <c r="F51" s="21"/>
    </row>
    <row r="52" spans="1:6" x14ac:dyDescent="0.25">
      <c r="A52" s="16"/>
      <c r="B52" s="17" t="s">
        <v>104</v>
      </c>
      <c r="F52" s="21"/>
    </row>
    <row r="53" spans="1:6" x14ac:dyDescent="0.25">
      <c r="A53" s="16"/>
      <c r="B53" s="17" t="s">
        <v>147</v>
      </c>
      <c r="F53" s="21"/>
    </row>
    <row r="54" spans="1:6" x14ac:dyDescent="0.25">
      <c r="A54" s="16"/>
      <c r="B54" s="16"/>
      <c r="C54" s="16"/>
      <c r="D54" s="16"/>
      <c r="E54" s="16"/>
      <c r="F54" s="16"/>
    </row>
    <row r="55" spans="1:6" ht="25.5" x14ac:dyDescent="0.25">
      <c r="A55" s="16" t="s">
        <v>43</v>
      </c>
      <c r="B55" s="17" t="s">
        <v>105</v>
      </c>
      <c r="C55" s="22" t="s">
        <v>185</v>
      </c>
      <c r="D55" s="22" t="s">
        <v>186</v>
      </c>
      <c r="E55" s="22" t="s">
        <v>184</v>
      </c>
      <c r="F55" s="16"/>
    </row>
    <row r="56" spans="1:6" x14ac:dyDescent="0.25">
      <c r="A56" s="16" t="s">
        <v>40</v>
      </c>
      <c r="B56" s="23" t="s">
        <v>106</v>
      </c>
      <c r="C56" s="24" t="s">
        <v>202</v>
      </c>
      <c r="D56" s="24" t="s">
        <v>203</v>
      </c>
      <c r="E56" s="24" t="s">
        <v>204</v>
      </c>
      <c r="F56" s="16"/>
    </row>
    <row r="57" spans="1:6" x14ac:dyDescent="0.25">
      <c r="A57" s="16"/>
      <c r="B57" s="16"/>
      <c r="C57" s="21"/>
      <c r="D57" s="21"/>
      <c r="E57" s="21"/>
      <c r="F57" s="16"/>
    </row>
    <row r="58" spans="1:6" ht="38.25" x14ac:dyDescent="0.25">
      <c r="A58" s="18" t="s">
        <v>148</v>
      </c>
      <c r="B58" s="17" t="s">
        <v>149</v>
      </c>
      <c r="C58" s="22" t="s">
        <v>190</v>
      </c>
      <c r="D58" s="22" t="s">
        <v>192</v>
      </c>
      <c r="E58" s="22" t="s">
        <v>191</v>
      </c>
      <c r="F58" s="16"/>
    </row>
    <row r="59" spans="1:6" x14ac:dyDescent="0.25">
      <c r="A59" s="18"/>
      <c r="B59" s="17" t="s">
        <v>150</v>
      </c>
      <c r="C59" s="22" t="s">
        <v>160</v>
      </c>
      <c r="D59" s="22" t="s">
        <v>161</v>
      </c>
      <c r="E59" s="22" t="s">
        <v>162</v>
      </c>
      <c r="F59" s="16"/>
    </row>
    <row r="60" spans="1:6" x14ac:dyDescent="0.25">
      <c r="A60" s="18"/>
      <c r="B60" s="19"/>
      <c r="C60" s="20"/>
      <c r="D60" s="20"/>
      <c r="E60" s="20"/>
      <c r="F60" s="16"/>
    </row>
    <row r="61" spans="1:6" ht="12.75" customHeight="1" x14ac:dyDescent="0.25">
      <c r="A61" s="18" t="s">
        <v>151</v>
      </c>
      <c r="B61" s="17" t="s">
        <v>152</v>
      </c>
      <c r="C61" s="22" t="s">
        <v>193</v>
      </c>
      <c r="D61" s="22" t="s">
        <v>194</v>
      </c>
      <c r="E61" s="22" t="s">
        <v>197</v>
      </c>
      <c r="F61" s="16"/>
    </row>
    <row r="62" spans="1:6" x14ac:dyDescent="0.25">
      <c r="A62" s="18"/>
      <c r="B62" s="17" t="s">
        <v>153</v>
      </c>
      <c r="C62" s="22" t="s">
        <v>199</v>
      </c>
      <c r="D62" s="22" t="s">
        <v>200</v>
      </c>
      <c r="E62" s="22" t="s">
        <v>201</v>
      </c>
      <c r="F62" s="16"/>
    </row>
    <row r="63" spans="1:6" x14ac:dyDescent="0.25">
      <c r="A63" s="18"/>
      <c r="B63" s="18"/>
      <c r="C63" s="18"/>
      <c r="D63" s="18"/>
      <c r="E63" s="18"/>
      <c r="F63" s="16"/>
    </row>
    <row r="64" spans="1:6" ht="12.75" customHeight="1" x14ac:dyDescent="0.25">
      <c r="A64" s="18" t="s">
        <v>154</v>
      </c>
      <c r="B64" s="17" t="s">
        <v>155</v>
      </c>
      <c r="C64" s="22" t="s">
        <v>195</v>
      </c>
      <c r="D64" s="22" t="s">
        <v>196</v>
      </c>
      <c r="E64" s="22" t="s">
        <v>198</v>
      </c>
      <c r="F64" s="16"/>
    </row>
    <row r="65" spans="1:6" x14ac:dyDescent="0.25">
      <c r="A65" s="18"/>
      <c r="B65" s="17" t="s">
        <v>156</v>
      </c>
      <c r="C65" s="22" t="s">
        <v>199</v>
      </c>
      <c r="D65" s="22" t="s">
        <v>200</v>
      </c>
      <c r="E65" s="22" t="s">
        <v>201</v>
      </c>
      <c r="F65" s="16"/>
    </row>
    <row r="66" spans="1:6" x14ac:dyDescent="0.25">
      <c r="A66" s="18"/>
      <c r="B66" s="18"/>
      <c r="C66" s="18"/>
      <c r="D66" s="18"/>
      <c r="E66" s="18"/>
      <c r="F66" s="16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85A33B2A6CCB547A161950A270407E3" ma:contentTypeVersion="6" ma:contentTypeDescription="Ein neues Dokument erstellen." ma:contentTypeScope="" ma:versionID="30c8e58aff0c29f51bc0baaf72acff20">
  <xsd:schema xmlns:xsd="http://www.w3.org/2001/XMLSchema" xmlns:xs="http://www.w3.org/2001/XMLSchema" xmlns:p="http://schemas.microsoft.com/office/2006/metadata/properties" xmlns:ns1="http://schemas.microsoft.com/sharepoint/v3" xmlns:ns2="7454599f-d106-457b-8c57-c701db197486" targetNamespace="http://schemas.microsoft.com/office/2006/metadata/properties" ma:root="true" ma:fieldsID="6f9bf5ebc84e314b5d8bed6c82c25cb6" ns1:_="" ns2:_="">
    <xsd:import namespace="http://schemas.microsoft.com/sharepoint/v3"/>
    <xsd:import namespace="7454599f-d106-457b-8c57-c701db19748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54599f-d106-457b-8c57-c701db197486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tegorie xmlns="7454599f-d106-457b-8c57-c701db197486">Aussenhandel</Kategorie>
    <Titel_IT xmlns="7454599f-d106-457b-8c57-c701db197486">Commercio estero per Cantoni, 2016-2024</Titel_IT>
    <Benutzerdefinierte_x0020_ID xmlns="7454599f-d106-457b-8c57-c701db197486">1008</Benutzerdefinierte_x0020_ID>
    <PublishingExpirationDate xmlns="http://schemas.microsoft.com/sharepoint/v3" xsi:nil="true"/>
    <Titel_DE xmlns="7454599f-d106-457b-8c57-c701db197486">Aussenhandel nach Kantonen, 2016-2024</Titel_DE>
    <PublishingStartDate xmlns="http://schemas.microsoft.com/sharepoint/v3" xsi:nil="true"/>
    <Titel_RM xmlns="7454599f-d106-457b-8c57-c701db197486">Commerzi cun l'exteriur tenor chantuns, 2016-2024</Titel_RM>
  </documentManagement>
</p:properties>
</file>

<file path=customXml/itemProps1.xml><?xml version="1.0" encoding="utf-8"?>
<ds:datastoreItem xmlns:ds="http://schemas.openxmlformats.org/officeDocument/2006/customXml" ds:itemID="{51518A0D-D350-4B4D-9E52-C793D6C4BDBE}"/>
</file>

<file path=customXml/itemProps2.xml><?xml version="1.0" encoding="utf-8"?>
<ds:datastoreItem xmlns:ds="http://schemas.openxmlformats.org/officeDocument/2006/customXml" ds:itemID="{D7631B6C-37EE-4635-B2C2-3A5DE11333FC}"/>
</file>

<file path=customXml/itemProps3.xml><?xml version="1.0" encoding="utf-8"?>
<ds:datastoreItem xmlns:ds="http://schemas.openxmlformats.org/officeDocument/2006/customXml" ds:itemID="{DA45B2C5-0AB5-4370-834B-DFA51642DEC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Exporte absolut</vt:lpstr>
      <vt:lpstr>Importe absolut</vt:lpstr>
      <vt:lpstr>Exporte pro Kopf</vt:lpstr>
      <vt:lpstr>Importe pro Kopf</vt:lpstr>
      <vt:lpstr>Uebersetzungen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Aussenhandel nach Grossregionen und Kantonen</dc:title>
  <dc:creator>Luzius.Stricker@awt.gr.ch</dc:creator>
  <cp:lastModifiedBy>Monstein Urs (AWT GR)</cp:lastModifiedBy>
  <dcterms:created xsi:type="dcterms:W3CDTF">2022-01-24T08:31:17Z</dcterms:created>
  <dcterms:modified xsi:type="dcterms:W3CDTF">2025-07-09T06:47:57Z</dcterms:modified>
  <cp:category>Aussenhandelsstatistik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2025-07-09T05:59:09Z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1484c24e-ad67-465e-a6ed-97e7acc455ff</vt:lpwstr>
  </property>
  <property fmtid="{D5CDD505-2E9C-101B-9397-08002B2CF9AE}" pid="8" name="MSIP_Label_fbfc5642-2d7f-4e68-9674-ab3e35a89b06_ContentBits">
    <vt:lpwstr>0</vt:lpwstr>
  </property>
  <property fmtid="{D5CDD505-2E9C-101B-9397-08002B2CF9AE}" pid="9" name="ContentTypeId">
    <vt:lpwstr>0x010100A85A33B2A6CCB547A161950A270407E3</vt:lpwstr>
  </property>
</Properties>
</file>